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Mac\Home\Development\codex\"/>
    </mc:Choice>
  </mc:AlternateContent>
  <xr:revisionPtr revIDLastSave="0" documentId="13_ncr:1_{0DC45818-9697-4514-9ED2-190D02C8005E}" xr6:coauthVersionLast="47" xr6:coauthVersionMax="47" xr10:uidLastSave="{00000000-0000-0000-0000-000000000000}"/>
  <bookViews>
    <workbookView xWindow="-28898" yWindow="277" windowWidth="28996" windowHeight="16020" activeTab="1" xr2:uid="{00000000-000D-0000-FFFF-FFFF00000000}"/>
  </bookViews>
  <sheets>
    <sheet name="Inputs" sheetId="1" r:id="rId1"/>
    <sheet name="Monthly Schedule" sheetId="2" r:id="rId2"/>
    <sheet name="Summary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4" i="2"/>
  <c r="C3" i="2"/>
  <c r="L5" i="2"/>
  <c r="L4" i="2"/>
  <c r="L3" i="2"/>
  <c r="H2" i="2"/>
  <c r="B17" i="3"/>
  <c r="B15" i="3"/>
  <c r="B12" i="3"/>
  <c r="B11" i="3"/>
  <c r="B9" i="3"/>
  <c r="B8" i="3"/>
  <c r="B7" i="3"/>
  <c r="B5" i="3"/>
  <c r="B4" i="3"/>
  <c r="B3" i="3"/>
  <c r="B11" i="1"/>
  <c r="B16" i="3" s="1"/>
  <c r="B10" i="1"/>
  <c r="B9" i="1"/>
  <c r="B13" i="3" s="1"/>
  <c r="B7" i="1"/>
  <c r="B6" i="3" s="1"/>
  <c r="B3" i="1"/>
  <c r="B14" i="3" l="1"/>
  <c r="B27" i="1"/>
  <c r="B29" i="1" s="1"/>
  <c r="B31" i="1" s="1"/>
  <c r="A2" i="2" s="1"/>
  <c r="B24" i="1"/>
  <c r="B23" i="1"/>
  <c r="Y2" i="2" l="1"/>
  <c r="T2" i="2"/>
  <c r="E2" i="2"/>
  <c r="R2" i="2"/>
  <c r="V2" i="2" s="1"/>
  <c r="A3" i="2"/>
  <c r="W2" i="2"/>
  <c r="Q2" i="2"/>
  <c r="G2" i="2"/>
  <c r="P2" i="2"/>
  <c r="L2" i="2"/>
  <c r="Z2" i="2"/>
  <c r="F2" i="2"/>
  <c r="K2" i="2" s="1"/>
  <c r="W3" i="2" l="1"/>
  <c r="Q3" i="2"/>
  <c r="G3" i="2"/>
  <c r="A4" i="2"/>
  <c r="Z3" i="2"/>
  <c r="P3" i="2"/>
  <c r="Y3" i="2"/>
  <c r="T3" i="2"/>
  <c r="E3" i="2"/>
  <c r="F3" i="2" s="1"/>
  <c r="R3" i="2"/>
  <c r="V3" i="2" s="1"/>
  <c r="X2" i="2"/>
  <c r="H3" i="2"/>
  <c r="K3" i="2" s="1"/>
  <c r="N3" i="2" l="1"/>
  <c r="O3" i="2" s="1"/>
  <c r="M2" i="2"/>
  <c r="N2" i="2"/>
  <c r="O2" i="2" s="1"/>
  <c r="X3" i="2"/>
  <c r="A5" i="2"/>
  <c r="Z4" i="2"/>
  <c r="P4" i="2"/>
  <c r="W4" i="2"/>
  <c r="E4" i="2"/>
  <c r="T4" i="2"/>
  <c r="V4" i="2" s="1"/>
  <c r="H4" i="2"/>
  <c r="Q4" i="2"/>
  <c r="F4" i="2"/>
  <c r="Y4" i="2"/>
  <c r="R4" i="2"/>
  <c r="G4" i="2"/>
  <c r="K4" i="2" l="1"/>
  <c r="M4" i="2" s="1"/>
  <c r="X4" i="2"/>
  <c r="AA2" i="2"/>
  <c r="AB2" i="2" s="1"/>
  <c r="A6" i="2"/>
  <c r="Z5" i="2"/>
  <c r="V5" i="2"/>
  <c r="R5" i="2"/>
  <c r="X5" i="2" s="1"/>
  <c r="H5" i="2"/>
  <c r="W5" i="2"/>
  <c r="G5" i="2"/>
  <c r="T5" i="2"/>
  <c r="P5" i="2"/>
  <c r="Q5" i="2"/>
  <c r="E5" i="2"/>
  <c r="F5" i="2" s="1"/>
  <c r="Y5" i="2"/>
  <c r="M3" i="2"/>
  <c r="AA3" i="2" s="1"/>
  <c r="AB3" i="2" s="1"/>
  <c r="N4" i="2" l="1"/>
  <c r="O4" i="2" s="1"/>
  <c r="AA4" i="2" s="1"/>
  <c r="AB4" i="2" s="1"/>
  <c r="AC4" i="2" s="1"/>
  <c r="K5" i="2"/>
  <c r="M5" i="2"/>
  <c r="R6" i="2"/>
  <c r="H6" i="2"/>
  <c r="A7" i="2"/>
  <c r="Z6" i="2"/>
  <c r="P6" i="2"/>
  <c r="L6" i="2"/>
  <c r="Y6" i="2"/>
  <c r="E6" i="2"/>
  <c r="F6" i="2" s="1"/>
  <c r="W6" i="2"/>
  <c r="T6" i="2"/>
  <c r="V6" i="2" s="1"/>
  <c r="X6" i="2" s="1"/>
  <c r="Q6" i="2"/>
  <c r="G6" i="2"/>
  <c r="AC2" i="2"/>
  <c r="AC3" i="2"/>
  <c r="K6" i="2" l="1"/>
  <c r="M6" i="2"/>
  <c r="A8" i="2"/>
  <c r="Z7" i="2"/>
  <c r="P7" i="2"/>
  <c r="L7" i="2"/>
  <c r="R7" i="2"/>
  <c r="V7" i="2" s="1"/>
  <c r="X7" i="2" s="1"/>
  <c r="H7" i="2"/>
  <c r="Q7" i="2"/>
  <c r="G7" i="2"/>
  <c r="Y7" i="2"/>
  <c r="E7" i="2"/>
  <c r="F7" i="2" s="1"/>
  <c r="W7" i="2"/>
  <c r="T7" i="2"/>
  <c r="N6" i="2"/>
  <c r="O6" i="2" s="1"/>
  <c r="AA6" i="2" s="1"/>
  <c r="AB6" i="2" s="1"/>
  <c r="N5" i="2"/>
  <c r="O5" i="2" s="1"/>
  <c r="AA5" i="2" s="1"/>
  <c r="AB5" i="2" s="1"/>
  <c r="K7" i="2" l="1"/>
  <c r="M7" i="2" s="1"/>
  <c r="N7" i="2"/>
  <c r="O7" i="2" s="1"/>
  <c r="AC6" i="2"/>
  <c r="AC5" i="2"/>
  <c r="R8" i="2"/>
  <c r="X8" i="2" s="1"/>
  <c r="H8" i="2"/>
  <c r="A9" i="2"/>
  <c r="Z8" i="2"/>
  <c r="V8" i="2"/>
  <c r="P8" i="2"/>
  <c r="L8" i="2"/>
  <c r="T8" i="2"/>
  <c r="Q8" i="2"/>
  <c r="G8" i="2"/>
  <c r="Y8" i="2"/>
  <c r="E8" i="2"/>
  <c r="F8" i="2" s="1"/>
  <c r="W8" i="2"/>
  <c r="K8" i="2" l="1"/>
  <c r="AA7" i="2"/>
  <c r="AB7" i="2" s="1"/>
  <c r="AC7" i="2" s="1"/>
  <c r="M8" i="2"/>
  <c r="N8" i="2"/>
  <c r="O8" i="2" s="1"/>
  <c r="A10" i="2"/>
  <c r="Z9" i="2"/>
  <c r="P9" i="2"/>
  <c r="L9" i="2"/>
  <c r="R9" i="2"/>
  <c r="V9" i="2" s="1"/>
  <c r="H9" i="2"/>
  <c r="W9" i="2"/>
  <c r="T9" i="2"/>
  <c r="Q9" i="2"/>
  <c r="G9" i="2"/>
  <c r="Y9" i="2"/>
  <c r="E9" i="2"/>
  <c r="F9" i="2" s="1"/>
  <c r="K9" i="2" l="1"/>
  <c r="M9" i="2" s="1"/>
  <c r="AA8" i="2"/>
  <c r="AB8" i="2" s="1"/>
  <c r="AC8" i="2"/>
  <c r="R10" i="2"/>
  <c r="H10" i="2"/>
  <c r="A11" i="2"/>
  <c r="Z10" i="2"/>
  <c r="P10" i="2"/>
  <c r="L10" i="2"/>
  <c r="Y10" i="2"/>
  <c r="E10" i="2"/>
  <c r="F10" i="2" s="1"/>
  <c r="W10" i="2"/>
  <c r="T10" i="2"/>
  <c r="V10" i="2" s="1"/>
  <c r="X10" i="2" s="1"/>
  <c r="Q10" i="2"/>
  <c r="G10" i="2"/>
  <c r="X9" i="2"/>
  <c r="K10" i="2" l="1"/>
  <c r="N9" i="2"/>
  <c r="O9" i="2" s="1"/>
  <c r="AA9" i="2" s="1"/>
  <c r="AB9" i="2" s="1"/>
  <c r="AC9" i="2" s="1"/>
  <c r="N10" i="2"/>
  <c r="O10" i="2" s="1"/>
  <c r="M10" i="2"/>
  <c r="A12" i="2"/>
  <c r="Z11" i="2"/>
  <c r="V11" i="2"/>
  <c r="P11" i="2"/>
  <c r="L11" i="2"/>
  <c r="F11" i="2"/>
  <c r="X11" i="2"/>
  <c r="R11" i="2"/>
  <c r="H11" i="2"/>
  <c r="Q11" i="2"/>
  <c r="G11" i="2"/>
  <c r="Y11" i="2"/>
  <c r="E11" i="2"/>
  <c r="W11" i="2"/>
  <c r="T11" i="2"/>
  <c r="K11" i="2" l="1"/>
  <c r="M11" i="2" s="1"/>
  <c r="AA10" i="2"/>
  <c r="AB10" i="2" s="1"/>
  <c r="AC10" i="2" s="1"/>
  <c r="R12" i="2"/>
  <c r="H12" i="2"/>
  <c r="A13" i="2"/>
  <c r="Z12" i="2"/>
  <c r="P12" i="2"/>
  <c r="L12" i="2"/>
  <c r="T12" i="2"/>
  <c r="V12" i="2" s="1"/>
  <c r="X12" i="2" s="1"/>
  <c r="Q12" i="2"/>
  <c r="G12" i="2"/>
  <c r="Y12" i="2"/>
  <c r="E12" i="2"/>
  <c r="F12" i="2" s="1"/>
  <c r="W12" i="2"/>
  <c r="N11" i="2" l="1"/>
  <c r="O11" i="2" s="1"/>
  <c r="AA11" i="2" s="1"/>
  <c r="AB11" i="2" s="1"/>
  <c r="AC11" i="2" s="1"/>
  <c r="K12" i="2"/>
  <c r="M12" i="2" s="1"/>
  <c r="A14" i="2"/>
  <c r="Z13" i="2"/>
  <c r="P13" i="2"/>
  <c r="L13" i="2"/>
  <c r="R13" i="2"/>
  <c r="W13" i="2"/>
  <c r="T13" i="2"/>
  <c r="V13" i="2" s="1"/>
  <c r="X13" i="2" s="1"/>
  <c r="Q13" i="2"/>
  <c r="G13" i="2"/>
  <c r="Y13" i="2"/>
  <c r="E13" i="2"/>
  <c r="F13" i="2" s="1"/>
  <c r="H13" i="2" l="1"/>
  <c r="R14" i="2"/>
  <c r="A15" i="2"/>
  <c r="Z14" i="2"/>
  <c r="P14" i="2"/>
  <c r="L14" i="2"/>
  <c r="F14" i="2"/>
  <c r="Y14" i="2"/>
  <c r="E14" i="2"/>
  <c r="W14" i="2"/>
  <c r="T14" i="2"/>
  <c r="Q14" i="2"/>
  <c r="G14" i="2"/>
  <c r="N12" i="2"/>
  <c r="O12" i="2" s="1"/>
  <c r="AA12" i="2" s="1"/>
  <c r="AB12" i="2" s="1"/>
  <c r="AC12" i="2" l="1"/>
  <c r="V14" i="2"/>
  <c r="X14" i="2" s="1"/>
  <c r="K13" i="2"/>
  <c r="A16" i="2"/>
  <c r="Z15" i="2"/>
  <c r="P15" i="2"/>
  <c r="L15" i="2"/>
  <c r="R15" i="2"/>
  <c r="V15" i="2" s="1"/>
  <c r="Q15" i="2"/>
  <c r="G15" i="2"/>
  <c r="Y15" i="2"/>
  <c r="E15" i="2"/>
  <c r="F15" i="2" s="1"/>
  <c r="W15" i="2"/>
  <c r="T15" i="2"/>
  <c r="X15" i="2" l="1"/>
  <c r="N13" i="2"/>
  <c r="O13" i="2" s="1"/>
  <c r="H14" i="2"/>
  <c r="M13" i="2"/>
  <c r="R16" i="2"/>
  <c r="A17" i="2"/>
  <c r="Z16" i="2"/>
  <c r="P16" i="2"/>
  <c r="L16" i="2"/>
  <c r="T16" i="2"/>
  <c r="V16" i="2" s="1"/>
  <c r="X16" i="2" s="1"/>
  <c r="Q16" i="2"/>
  <c r="G16" i="2"/>
  <c r="Y16" i="2"/>
  <c r="E16" i="2"/>
  <c r="F16" i="2" s="1"/>
  <c r="W16" i="2"/>
  <c r="K14" i="2" l="1"/>
  <c r="M14" i="2"/>
  <c r="A18" i="2"/>
  <c r="Z17" i="2"/>
  <c r="P17" i="2"/>
  <c r="L17" i="2"/>
  <c r="R17" i="2"/>
  <c r="W17" i="2"/>
  <c r="T17" i="2"/>
  <c r="V17" i="2" s="1"/>
  <c r="X17" i="2" s="1"/>
  <c r="Q17" i="2"/>
  <c r="G17" i="2"/>
  <c r="Y17" i="2"/>
  <c r="E17" i="2"/>
  <c r="F17" i="2" s="1"/>
  <c r="AA13" i="2"/>
  <c r="AB13" i="2" s="1"/>
  <c r="R18" i="2" l="1"/>
  <c r="A19" i="2"/>
  <c r="Z18" i="2"/>
  <c r="P18" i="2"/>
  <c r="L18" i="2"/>
  <c r="F18" i="2"/>
  <c r="Y18" i="2"/>
  <c r="E18" i="2"/>
  <c r="W18" i="2"/>
  <c r="T18" i="2"/>
  <c r="V18" i="2" s="1"/>
  <c r="X18" i="2" s="1"/>
  <c r="Q18" i="2"/>
  <c r="G18" i="2"/>
  <c r="N14" i="2"/>
  <c r="O14" i="2" s="1"/>
  <c r="AA14" i="2" s="1"/>
  <c r="AB14" i="2" s="1"/>
  <c r="H15" i="2"/>
  <c r="AC13" i="2"/>
  <c r="A20" i="2" l="1"/>
  <c r="Z19" i="2"/>
  <c r="P19" i="2"/>
  <c r="L19" i="2"/>
  <c r="Y19" i="2"/>
  <c r="T19" i="2"/>
  <c r="E19" i="2"/>
  <c r="F19" i="2" s="1"/>
  <c r="R19" i="2"/>
  <c r="Q19" i="2"/>
  <c r="G19" i="2"/>
  <c r="W19" i="2"/>
  <c r="K15" i="2"/>
  <c r="M15" i="2" s="1"/>
  <c r="AC14" i="2"/>
  <c r="W20" i="2" l="1"/>
  <c r="Q20" i="2"/>
  <c r="G20" i="2"/>
  <c r="A21" i="2"/>
  <c r="Z20" i="2"/>
  <c r="P20" i="2"/>
  <c r="L20" i="2"/>
  <c r="Y20" i="2"/>
  <c r="E20" i="2"/>
  <c r="F20" i="2" s="1"/>
  <c r="T20" i="2"/>
  <c r="V19" i="2"/>
  <c r="X19" i="2" s="1"/>
  <c r="N15" i="2"/>
  <c r="O15" i="2" s="1"/>
  <c r="AA15" i="2" s="1"/>
  <c r="AB15" i="2" s="1"/>
  <c r="H16" i="2"/>
  <c r="AC15" i="2" l="1"/>
  <c r="K16" i="2"/>
  <c r="M16" i="2" s="1"/>
  <c r="A22" i="2"/>
  <c r="Z21" i="2"/>
  <c r="P21" i="2"/>
  <c r="L21" i="2"/>
  <c r="Y21" i="2"/>
  <c r="T21" i="2"/>
  <c r="E21" i="2"/>
  <c r="F21" i="2" s="1"/>
  <c r="W21" i="2"/>
  <c r="Q21" i="2"/>
  <c r="G21" i="2"/>
  <c r="R20" i="2"/>
  <c r="W22" i="2" l="1"/>
  <c r="Q22" i="2"/>
  <c r="G22" i="2"/>
  <c r="A23" i="2"/>
  <c r="Z22" i="2"/>
  <c r="P22" i="2"/>
  <c r="L22" i="2"/>
  <c r="Y22" i="2"/>
  <c r="E22" i="2"/>
  <c r="F22" i="2" s="1"/>
  <c r="T22" i="2"/>
  <c r="X20" i="2"/>
  <c r="V20" i="2"/>
  <c r="R21" i="2" s="1"/>
  <c r="N16" i="2"/>
  <c r="O16" i="2" s="1"/>
  <c r="AA16" i="2" s="1"/>
  <c r="AB16" i="2" s="1"/>
  <c r="H17" i="2"/>
  <c r="A24" i="2" l="1"/>
  <c r="Z23" i="2"/>
  <c r="P23" i="2"/>
  <c r="L23" i="2"/>
  <c r="Y23" i="2"/>
  <c r="T23" i="2"/>
  <c r="E23" i="2"/>
  <c r="F23" i="2" s="1"/>
  <c r="G23" i="2"/>
  <c r="W23" i="2"/>
  <c r="Q23" i="2"/>
  <c r="AC16" i="2"/>
  <c r="K17" i="2"/>
  <c r="M17" i="2" s="1"/>
  <c r="V21" i="2"/>
  <c r="R22" i="2" s="1"/>
  <c r="X21" i="2"/>
  <c r="V22" i="2" l="1"/>
  <c r="R23" i="2" s="1"/>
  <c r="N17" i="2"/>
  <c r="O17" i="2" s="1"/>
  <c r="AA17" i="2" s="1"/>
  <c r="AB17" i="2" s="1"/>
  <c r="H18" i="2"/>
  <c r="W24" i="2"/>
  <c r="Q24" i="2"/>
  <c r="G24" i="2"/>
  <c r="A25" i="2"/>
  <c r="Z24" i="2"/>
  <c r="P24" i="2"/>
  <c r="L24" i="2"/>
  <c r="T24" i="2"/>
  <c r="Y24" i="2"/>
  <c r="E24" i="2"/>
  <c r="F24" i="2" s="1"/>
  <c r="AC17" i="2" l="1"/>
  <c r="X22" i="2"/>
  <c r="V23" i="2"/>
  <c r="R24" i="2" s="1"/>
  <c r="K18" i="2"/>
  <c r="A26" i="2"/>
  <c r="Z25" i="2"/>
  <c r="P25" i="2"/>
  <c r="L25" i="2"/>
  <c r="Y25" i="2"/>
  <c r="T25" i="2"/>
  <c r="E25" i="2"/>
  <c r="F25" i="2" s="1"/>
  <c r="G25" i="2"/>
  <c r="W25" i="2"/>
  <c r="Q25" i="2"/>
  <c r="X23" i="2" l="1"/>
  <c r="W26" i="2"/>
  <c r="Q26" i="2"/>
  <c r="G26" i="2"/>
  <c r="A27" i="2"/>
  <c r="Z26" i="2"/>
  <c r="P26" i="2"/>
  <c r="L26" i="2"/>
  <c r="F26" i="2"/>
  <c r="Y26" i="2"/>
  <c r="E26" i="2"/>
  <c r="T26" i="2"/>
  <c r="V24" i="2"/>
  <c r="R25" i="2" s="1"/>
  <c r="X24" i="2"/>
  <c r="N18" i="2"/>
  <c r="O18" i="2" s="1"/>
  <c r="H19" i="2"/>
  <c r="M18" i="2"/>
  <c r="K19" i="2" l="1"/>
  <c r="M19" i="2" s="1"/>
  <c r="AA18" i="2"/>
  <c r="AB18" i="2" s="1"/>
  <c r="V25" i="2"/>
  <c r="R26" i="2" s="1"/>
  <c r="X25" i="2"/>
  <c r="A28" i="2"/>
  <c r="Z27" i="2"/>
  <c r="P27" i="2"/>
  <c r="L27" i="2"/>
  <c r="Y27" i="2"/>
  <c r="T27" i="2"/>
  <c r="E27" i="2"/>
  <c r="F27" i="2" s="1"/>
  <c r="Q27" i="2"/>
  <c r="G27" i="2"/>
  <c r="W27" i="2"/>
  <c r="W28" i="2" l="1"/>
  <c r="Q28" i="2"/>
  <c r="G28" i="2"/>
  <c r="A29" i="2"/>
  <c r="Z28" i="2"/>
  <c r="P28" i="2"/>
  <c r="L28" i="2"/>
  <c r="Y28" i="2"/>
  <c r="E28" i="2"/>
  <c r="F28" i="2" s="1"/>
  <c r="T28" i="2"/>
  <c r="N19" i="2"/>
  <c r="O19" i="2" s="1"/>
  <c r="AA19" i="2" s="1"/>
  <c r="AB19" i="2" s="1"/>
  <c r="AC19" i="2" s="1"/>
  <c r="H20" i="2"/>
  <c r="X26" i="2"/>
  <c r="V26" i="2"/>
  <c r="R27" i="2" s="1"/>
  <c r="AC18" i="2"/>
  <c r="V27" i="2" l="1"/>
  <c r="R28" i="2" s="1"/>
  <c r="A30" i="2"/>
  <c r="Z29" i="2"/>
  <c r="P29" i="2"/>
  <c r="L29" i="2"/>
  <c r="Y29" i="2"/>
  <c r="T29" i="2"/>
  <c r="E29" i="2"/>
  <c r="F29" i="2" s="1"/>
  <c r="W29" i="2"/>
  <c r="Q29" i="2"/>
  <c r="G29" i="2"/>
  <c r="K20" i="2"/>
  <c r="M20" i="2" s="1"/>
  <c r="H21" i="2" l="1"/>
  <c r="N20" i="2"/>
  <c r="O20" i="2" s="1"/>
  <c r="AA20" i="2" s="1"/>
  <c r="AB20" i="2" s="1"/>
  <c r="W30" i="2"/>
  <c r="Q30" i="2"/>
  <c r="G30" i="2"/>
  <c r="A31" i="2"/>
  <c r="Z30" i="2"/>
  <c r="P30" i="2"/>
  <c r="L30" i="2"/>
  <c r="Y30" i="2"/>
  <c r="E30" i="2"/>
  <c r="F30" i="2" s="1"/>
  <c r="T30" i="2"/>
  <c r="V28" i="2"/>
  <c r="R29" i="2" s="1"/>
  <c r="X27" i="2"/>
  <c r="AC20" i="2" l="1"/>
  <c r="V29" i="2"/>
  <c r="R30" i="2" s="1"/>
  <c r="X29" i="2"/>
  <c r="X28" i="2"/>
  <c r="K21" i="2"/>
  <c r="M21" i="2" s="1"/>
  <c r="A32" i="2"/>
  <c r="Z31" i="2"/>
  <c r="P31" i="2"/>
  <c r="L31" i="2"/>
  <c r="F31" i="2"/>
  <c r="Y31" i="2"/>
  <c r="T31" i="2"/>
  <c r="E31" i="2"/>
  <c r="G31" i="2"/>
  <c r="W31" i="2"/>
  <c r="Q31" i="2"/>
  <c r="N21" i="2" l="1"/>
  <c r="O21" i="2" s="1"/>
  <c r="AA21" i="2" s="1"/>
  <c r="AB21" i="2" s="1"/>
  <c r="H22" i="2"/>
  <c r="V30" i="2"/>
  <c r="R31" i="2" s="1"/>
  <c r="W32" i="2"/>
  <c r="Q32" i="2"/>
  <c r="G32" i="2"/>
  <c r="A33" i="2"/>
  <c r="Z32" i="2"/>
  <c r="P32" i="2"/>
  <c r="L32" i="2"/>
  <c r="T32" i="2"/>
  <c r="Y32" i="2"/>
  <c r="E32" i="2"/>
  <c r="F32" i="2" s="1"/>
  <c r="K22" i="2" l="1"/>
  <c r="M22" i="2" s="1"/>
  <c r="AC21" i="2"/>
  <c r="A34" i="2"/>
  <c r="Z33" i="2"/>
  <c r="P33" i="2"/>
  <c r="L33" i="2"/>
  <c r="Y33" i="2"/>
  <c r="T33" i="2"/>
  <c r="E33" i="2"/>
  <c r="F33" i="2" s="1"/>
  <c r="G33" i="2"/>
  <c r="W33" i="2"/>
  <c r="Q33" i="2"/>
  <c r="X30" i="2"/>
  <c r="X31" i="2"/>
  <c r="V31" i="2"/>
  <c r="R32" i="2" s="1"/>
  <c r="N22" i="2" l="1"/>
  <c r="O22" i="2" s="1"/>
  <c r="AA22" i="2" s="1"/>
  <c r="AB22" i="2" s="1"/>
  <c r="H23" i="2"/>
  <c r="V32" i="2"/>
  <c r="R33" i="2" s="1"/>
  <c r="W34" i="2"/>
  <c r="Q34" i="2"/>
  <c r="G34" i="2"/>
  <c r="A35" i="2"/>
  <c r="Z34" i="2"/>
  <c r="P34" i="2"/>
  <c r="L34" i="2"/>
  <c r="Y34" i="2"/>
  <c r="E34" i="2"/>
  <c r="F34" i="2" s="1"/>
  <c r="T34" i="2"/>
  <c r="AC22" i="2" l="1"/>
  <c r="A36" i="2"/>
  <c r="Z35" i="2"/>
  <c r="P35" i="2"/>
  <c r="L35" i="2"/>
  <c r="Y35" i="2"/>
  <c r="T35" i="2"/>
  <c r="E35" i="2"/>
  <c r="F35" i="2" s="1"/>
  <c r="Q35" i="2"/>
  <c r="G35" i="2"/>
  <c r="W35" i="2"/>
  <c r="X32" i="2"/>
  <c r="K23" i="2"/>
  <c r="M23" i="2" s="1"/>
  <c r="V33" i="2"/>
  <c r="R34" i="2" s="1"/>
  <c r="X33" i="2"/>
  <c r="W36" i="2" l="1"/>
  <c r="Q36" i="2"/>
  <c r="G36" i="2"/>
  <c r="A37" i="2"/>
  <c r="Z36" i="2"/>
  <c r="P36" i="2"/>
  <c r="L36" i="2"/>
  <c r="Y36" i="2"/>
  <c r="E36" i="2"/>
  <c r="F36" i="2" s="1"/>
  <c r="T36" i="2"/>
  <c r="V34" i="2"/>
  <c r="R35" i="2" s="1"/>
  <c r="N23" i="2"/>
  <c r="O23" i="2" s="1"/>
  <c r="AA23" i="2" s="1"/>
  <c r="AB23" i="2" s="1"/>
  <c r="H24" i="2"/>
  <c r="AC23" i="2" l="1"/>
  <c r="X34" i="2"/>
  <c r="A38" i="2"/>
  <c r="Z37" i="2"/>
  <c r="P37" i="2"/>
  <c r="L37" i="2"/>
  <c r="F37" i="2"/>
  <c r="Y37" i="2"/>
  <c r="T37" i="2"/>
  <c r="E37" i="2"/>
  <c r="W37" i="2"/>
  <c r="Q37" i="2"/>
  <c r="G37" i="2"/>
  <c r="X35" i="2"/>
  <c r="V35" i="2"/>
  <c r="R36" i="2" s="1"/>
  <c r="K24" i="2"/>
  <c r="M24" i="2" s="1"/>
  <c r="X36" i="2" l="1"/>
  <c r="V36" i="2"/>
  <c r="R37" i="2" s="1"/>
  <c r="N24" i="2"/>
  <c r="O24" i="2" s="1"/>
  <c r="AA24" i="2" s="1"/>
  <c r="AB24" i="2" s="1"/>
  <c r="H25" i="2"/>
  <c r="W38" i="2"/>
  <c r="Q38" i="2"/>
  <c r="G38" i="2"/>
  <c r="A39" i="2"/>
  <c r="Z38" i="2"/>
  <c r="P38" i="2"/>
  <c r="L38" i="2"/>
  <c r="Y38" i="2"/>
  <c r="E38" i="2"/>
  <c r="F38" i="2" s="1"/>
  <c r="AC24" i="2" l="1"/>
  <c r="X37" i="2"/>
  <c r="V37" i="2"/>
  <c r="R38" i="2" s="1"/>
  <c r="K25" i="2"/>
  <c r="M25" i="2" s="1"/>
  <c r="A40" i="2"/>
  <c r="Z39" i="2"/>
  <c r="P39" i="2"/>
  <c r="L39" i="2"/>
  <c r="Y39" i="2"/>
  <c r="E39" i="2"/>
  <c r="F39" i="2" s="1"/>
  <c r="G39" i="2"/>
  <c r="W39" i="2"/>
  <c r="Q39" i="2"/>
  <c r="W40" i="2" l="1"/>
  <c r="Q40" i="2"/>
  <c r="G40" i="2"/>
  <c r="A41" i="2"/>
  <c r="Z40" i="2"/>
  <c r="P40" i="2"/>
  <c r="L40" i="2"/>
  <c r="Y40" i="2"/>
  <c r="E40" i="2"/>
  <c r="F40" i="2" s="1"/>
  <c r="N25" i="2"/>
  <c r="O25" i="2" s="1"/>
  <c r="AA25" i="2" s="1"/>
  <c r="AB25" i="2" s="1"/>
  <c r="H26" i="2"/>
  <c r="T38" i="2"/>
  <c r="V38" i="2" s="1"/>
  <c r="R39" i="2" l="1"/>
  <c r="X38" i="2"/>
  <c r="AC25" i="2"/>
  <c r="A42" i="2"/>
  <c r="Z41" i="2"/>
  <c r="P41" i="2"/>
  <c r="L41" i="2"/>
  <c r="E41" i="2"/>
  <c r="F41" i="2" s="1"/>
  <c r="Y41" i="2"/>
  <c r="G41" i="2"/>
  <c r="W41" i="2"/>
  <c r="Q41" i="2"/>
  <c r="K26" i="2"/>
  <c r="N26" i="2" l="1"/>
  <c r="O26" i="2" s="1"/>
  <c r="H27" i="2"/>
  <c r="T39" i="2"/>
  <c r="V39" i="2" s="1"/>
  <c r="M26" i="2"/>
  <c r="A43" i="2"/>
  <c r="Z42" i="2"/>
  <c r="P42" i="2"/>
  <c r="L42" i="2"/>
  <c r="W42" i="2"/>
  <c r="Q42" i="2"/>
  <c r="G42" i="2"/>
  <c r="E42" i="2"/>
  <c r="F42" i="2" s="1"/>
  <c r="Y42" i="2"/>
  <c r="AA26" i="2" l="1"/>
  <c r="AB26" i="2" s="1"/>
  <c r="R40" i="2"/>
  <c r="X39" i="2"/>
  <c r="W43" i="2"/>
  <c r="Q43" i="2"/>
  <c r="G43" i="2"/>
  <c r="A44" i="2"/>
  <c r="Z43" i="2"/>
  <c r="P43" i="2"/>
  <c r="L43" i="2"/>
  <c r="Y43" i="2"/>
  <c r="E43" i="2"/>
  <c r="F43" i="2" s="1"/>
  <c r="AC26" i="2"/>
  <c r="K27" i="2"/>
  <c r="M27" i="2" s="1"/>
  <c r="N27" i="2" l="1"/>
  <c r="O27" i="2" s="1"/>
  <c r="AA27" i="2" s="1"/>
  <c r="AB27" i="2" s="1"/>
  <c r="H28" i="2"/>
  <c r="A45" i="2"/>
  <c r="Z44" i="2"/>
  <c r="P44" i="2"/>
  <c r="L44" i="2"/>
  <c r="Y44" i="2"/>
  <c r="E44" i="2"/>
  <c r="F44" i="2" s="1"/>
  <c r="Q44" i="2"/>
  <c r="G44" i="2"/>
  <c r="W44" i="2"/>
  <c r="V40" i="2"/>
  <c r="R41" i="2" s="1"/>
  <c r="T40" i="2"/>
  <c r="T41" i="2" l="1"/>
  <c r="V41" i="2" s="1"/>
  <c r="AC27" i="2"/>
  <c r="X40" i="2"/>
  <c r="W45" i="2"/>
  <c r="Q45" i="2"/>
  <c r="G45" i="2"/>
  <c r="A46" i="2"/>
  <c r="Z45" i="2"/>
  <c r="P45" i="2"/>
  <c r="L45" i="2"/>
  <c r="Y45" i="2"/>
  <c r="E45" i="2"/>
  <c r="F45" i="2" s="1"/>
  <c r="K28" i="2"/>
  <c r="R42" i="2" l="1"/>
  <c r="X41" i="2"/>
  <c r="N28" i="2"/>
  <c r="O28" i="2" s="1"/>
  <c r="H29" i="2"/>
  <c r="M28" i="2"/>
  <c r="A47" i="2"/>
  <c r="Z46" i="2"/>
  <c r="P46" i="2"/>
  <c r="L46" i="2"/>
  <c r="Y46" i="2"/>
  <c r="E46" i="2"/>
  <c r="F46" i="2" s="1"/>
  <c r="W46" i="2"/>
  <c r="Q46" i="2"/>
  <c r="G46" i="2"/>
  <c r="AA28" i="2" l="1"/>
  <c r="AB28" i="2" s="1"/>
  <c r="AC28" i="2" s="1"/>
  <c r="W47" i="2"/>
  <c r="Q47" i="2"/>
  <c r="G47" i="2"/>
  <c r="A48" i="2"/>
  <c r="Z47" i="2"/>
  <c r="P47" i="2"/>
  <c r="L47" i="2"/>
  <c r="Y47" i="2"/>
  <c r="E47" i="2"/>
  <c r="F47" i="2" s="1"/>
  <c r="T42" i="2"/>
  <c r="V42" i="2" s="1"/>
  <c r="K29" i="2"/>
  <c r="M29" i="2" s="1"/>
  <c r="R43" i="2" l="1"/>
  <c r="X42" i="2"/>
  <c r="A49" i="2"/>
  <c r="Z48" i="2"/>
  <c r="P48" i="2"/>
  <c r="L48" i="2"/>
  <c r="F48" i="2"/>
  <c r="Y48" i="2"/>
  <c r="E48" i="2"/>
  <c r="G48" i="2"/>
  <c r="W48" i="2"/>
  <c r="Q48" i="2"/>
  <c r="H30" i="2"/>
  <c r="N29" i="2"/>
  <c r="O29" i="2" s="1"/>
  <c r="AA29" i="2" s="1"/>
  <c r="AB29" i="2" s="1"/>
  <c r="K30" i="2" l="1"/>
  <c r="AC29" i="2"/>
  <c r="W49" i="2"/>
  <c r="Q49" i="2"/>
  <c r="G49" i="2"/>
  <c r="A50" i="2"/>
  <c r="Z49" i="2"/>
  <c r="P49" i="2"/>
  <c r="L49" i="2"/>
  <c r="F49" i="2"/>
  <c r="Y49" i="2"/>
  <c r="E49" i="2"/>
  <c r="T43" i="2"/>
  <c r="V43" i="2" s="1"/>
  <c r="R44" i="2" l="1"/>
  <c r="X43" i="2"/>
  <c r="N30" i="2"/>
  <c r="O30" i="2" s="1"/>
  <c r="H31" i="2"/>
  <c r="A51" i="2"/>
  <c r="Z50" i="2"/>
  <c r="P50" i="2"/>
  <c r="L50" i="2"/>
  <c r="Y50" i="2"/>
  <c r="E50" i="2"/>
  <c r="F50" i="2" s="1"/>
  <c r="G50" i="2"/>
  <c r="W50" i="2"/>
  <c r="Q50" i="2"/>
  <c r="M30" i="2"/>
  <c r="AA30" i="2" l="1"/>
  <c r="AB30" i="2" s="1"/>
  <c r="AC30" i="2" s="1"/>
  <c r="W51" i="2"/>
  <c r="Q51" i="2"/>
  <c r="G51" i="2"/>
  <c r="A52" i="2"/>
  <c r="Z51" i="2"/>
  <c r="P51" i="2"/>
  <c r="L51" i="2"/>
  <c r="Y51" i="2"/>
  <c r="E51" i="2"/>
  <c r="F51" i="2" s="1"/>
  <c r="T44" i="2"/>
  <c r="V44" i="2"/>
  <c r="R45" i="2" s="1"/>
  <c r="K31" i="2"/>
  <c r="M31" i="2" s="1"/>
  <c r="T45" i="2" l="1"/>
  <c r="V45" i="2" s="1"/>
  <c r="X44" i="2"/>
  <c r="N31" i="2"/>
  <c r="O31" i="2" s="1"/>
  <c r="AA31" i="2" s="1"/>
  <c r="AB31" i="2" s="1"/>
  <c r="H32" i="2"/>
  <c r="A53" i="2"/>
  <c r="Z52" i="2"/>
  <c r="P52" i="2"/>
  <c r="L52" i="2"/>
  <c r="Y52" i="2"/>
  <c r="E52" i="2"/>
  <c r="F52" i="2" s="1"/>
  <c r="Q52" i="2"/>
  <c r="G52" i="2"/>
  <c r="W52" i="2"/>
  <c r="R46" i="2" l="1"/>
  <c r="X45" i="2"/>
  <c r="W53" i="2"/>
  <c r="Q53" i="2"/>
  <c r="G53" i="2"/>
  <c r="A54" i="2"/>
  <c r="Z53" i="2"/>
  <c r="P53" i="2"/>
  <c r="L53" i="2"/>
  <c r="Y53" i="2"/>
  <c r="E53" i="2"/>
  <c r="F53" i="2" s="1"/>
  <c r="K32" i="2"/>
  <c r="M32" i="2" s="1"/>
  <c r="AC31" i="2"/>
  <c r="N32" i="2" l="1"/>
  <c r="O32" i="2" s="1"/>
  <c r="AA32" i="2" s="1"/>
  <c r="AB32" i="2" s="1"/>
  <c r="H33" i="2"/>
  <c r="A55" i="2"/>
  <c r="Z54" i="2"/>
  <c r="P54" i="2"/>
  <c r="L54" i="2"/>
  <c r="Y54" i="2"/>
  <c r="E54" i="2"/>
  <c r="F54" i="2" s="1"/>
  <c r="W54" i="2"/>
  <c r="Q54" i="2"/>
  <c r="G54" i="2"/>
  <c r="T46" i="2"/>
  <c r="V46" i="2" s="1"/>
  <c r="R47" i="2" l="1"/>
  <c r="X46" i="2"/>
  <c r="K33" i="2"/>
  <c r="M33" i="2" s="1"/>
  <c r="AC32" i="2"/>
  <c r="W55" i="2"/>
  <c r="Q55" i="2"/>
  <c r="G55" i="2"/>
  <c r="A56" i="2"/>
  <c r="Z55" i="2"/>
  <c r="P55" i="2"/>
  <c r="L55" i="2"/>
  <c r="Y55" i="2"/>
  <c r="E55" i="2"/>
  <c r="F55" i="2" s="1"/>
  <c r="A57" i="2" l="1"/>
  <c r="Z56" i="2"/>
  <c r="P56" i="2"/>
  <c r="L56" i="2"/>
  <c r="F56" i="2"/>
  <c r="Y56" i="2"/>
  <c r="E56" i="2"/>
  <c r="G56" i="2"/>
  <c r="W56" i="2"/>
  <c r="Q56" i="2"/>
  <c r="N33" i="2"/>
  <c r="O33" i="2" s="1"/>
  <c r="AA33" i="2" s="1"/>
  <c r="AB33" i="2" s="1"/>
  <c r="H34" i="2"/>
  <c r="T47" i="2"/>
  <c r="V47" i="2" s="1"/>
  <c r="AC33" i="2" l="1"/>
  <c r="R48" i="2"/>
  <c r="X47" i="2"/>
  <c r="W57" i="2"/>
  <c r="Q57" i="2"/>
  <c r="G57" i="2"/>
  <c r="A58" i="2"/>
  <c r="Z57" i="2"/>
  <c r="P57" i="2"/>
  <c r="L57" i="2"/>
  <c r="Y57" i="2"/>
  <c r="E57" i="2"/>
  <c r="F57" i="2" s="1"/>
  <c r="K34" i="2"/>
  <c r="N34" i="2" l="1"/>
  <c r="O34" i="2" s="1"/>
  <c r="H35" i="2"/>
  <c r="M34" i="2"/>
  <c r="A59" i="2"/>
  <c r="Z58" i="2"/>
  <c r="P58" i="2"/>
  <c r="L58" i="2"/>
  <c r="F58" i="2"/>
  <c r="Y58" i="2"/>
  <c r="E58" i="2"/>
  <c r="G58" i="2"/>
  <c r="W58" i="2"/>
  <c r="Q58" i="2"/>
  <c r="X48" i="2"/>
  <c r="T48" i="2"/>
  <c r="V48" i="2"/>
  <c r="R49" i="2" s="1"/>
  <c r="W59" i="2" l="1"/>
  <c r="Q59" i="2"/>
  <c r="G59" i="2"/>
  <c r="A60" i="2"/>
  <c r="Z59" i="2"/>
  <c r="P59" i="2"/>
  <c r="L59" i="2"/>
  <c r="Y59" i="2"/>
  <c r="E59" i="2"/>
  <c r="F59" i="2" s="1"/>
  <c r="K35" i="2"/>
  <c r="T49" i="2"/>
  <c r="V49" i="2" s="1"/>
  <c r="AA34" i="2"/>
  <c r="AB34" i="2" s="1"/>
  <c r="R50" i="2" l="1"/>
  <c r="X49" i="2"/>
  <c r="A61" i="2"/>
  <c r="Z60" i="2"/>
  <c r="P60" i="2"/>
  <c r="L60" i="2"/>
  <c r="Y60" i="2"/>
  <c r="E60" i="2"/>
  <c r="F60" i="2" s="1"/>
  <c r="Q60" i="2"/>
  <c r="G60" i="2"/>
  <c r="W60" i="2"/>
  <c r="N35" i="2"/>
  <c r="O35" i="2" s="1"/>
  <c r="H36" i="2"/>
  <c r="AC34" i="2"/>
  <c r="M35" i="2"/>
  <c r="AA35" i="2" l="1"/>
  <c r="AB35" i="2" s="1"/>
  <c r="AC35" i="2" s="1"/>
  <c r="K36" i="2"/>
  <c r="M36" i="2" s="1"/>
  <c r="T50" i="2"/>
  <c r="V50" i="2" s="1"/>
  <c r="W61" i="2"/>
  <c r="Q61" i="2"/>
  <c r="G61" i="2"/>
  <c r="A62" i="2"/>
  <c r="Z61" i="2"/>
  <c r="P61" i="2"/>
  <c r="L61" i="2"/>
  <c r="Y61" i="2"/>
  <c r="E61" i="2"/>
  <c r="F61" i="2" s="1"/>
  <c r="R51" i="2" l="1"/>
  <c r="X50" i="2"/>
  <c r="AC62" i="2"/>
  <c r="Z62" i="2"/>
  <c r="V62" i="2"/>
  <c r="P62" i="2"/>
  <c r="L62" i="2"/>
  <c r="F62" i="2"/>
  <c r="A63" i="2"/>
  <c r="Y62" i="2"/>
  <c r="T62" i="2"/>
  <c r="O62" i="2"/>
  <c r="K62" i="2"/>
  <c r="E62" i="2"/>
  <c r="AB62" i="2"/>
  <c r="X62" i="2"/>
  <c r="R62" i="2"/>
  <c r="N62" i="2"/>
  <c r="H62" i="2"/>
  <c r="W62" i="2"/>
  <c r="Q62" i="2"/>
  <c r="M62" i="2"/>
  <c r="G62" i="2"/>
  <c r="AA62" i="2"/>
  <c r="N36" i="2"/>
  <c r="O36" i="2" s="1"/>
  <c r="AA36" i="2" s="1"/>
  <c r="AB36" i="2" s="1"/>
  <c r="H37" i="2"/>
  <c r="AC36" i="2" l="1"/>
  <c r="AA63" i="2"/>
  <c r="W63" i="2"/>
  <c r="Q63" i="2"/>
  <c r="M63" i="2"/>
  <c r="G63" i="2"/>
  <c r="A64" i="2"/>
  <c r="Y63" i="2"/>
  <c r="R63" i="2"/>
  <c r="L63" i="2"/>
  <c r="E63" i="2"/>
  <c r="AC63" i="2"/>
  <c r="X63" i="2"/>
  <c r="P63" i="2"/>
  <c r="K63" i="2"/>
  <c r="AB63" i="2"/>
  <c r="V63" i="2"/>
  <c r="O63" i="2"/>
  <c r="H63" i="2"/>
  <c r="T63" i="2"/>
  <c r="N63" i="2"/>
  <c r="F63" i="2"/>
  <c r="Z63" i="2"/>
  <c r="K37" i="2"/>
  <c r="T51" i="2"/>
  <c r="V51" i="2" s="1"/>
  <c r="R52" i="2" l="1"/>
  <c r="X51" i="2"/>
  <c r="N37" i="2"/>
  <c r="O37" i="2" s="1"/>
  <c r="H38" i="2"/>
  <c r="AC64" i="2"/>
  <c r="Y64" i="2"/>
  <c r="T64" i="2"/>
  <c r="O64" i="2"/>
  <c r="K64" i="2"/>
  <c r="E64" i="2"/>
  <c r="A65" i="2"/>
  <c r="X64" i="2"/>
  <c r="Q64" i="2"/>
  <c r="L64" i="2"/>
  <c r="AB64" i="2"/>
  <c r="W64" i="2"/>
  <c r="P64" i="2"/>
  <c r="H64" i="2"/>
  <c r="AA64" i="2"/>
  <c r="V64" i="2"/>
  <c r="N64" i="2"/>
  <c r="G64" i="2"/>
  <c r="R64" i="2"/>
  <c r="M64" i="2"/>
  <c r="F64" i="2"/>
  <c r="Z64" i="2"/>
  <c r="M37" i="2"/>
  <c r="AA37" i="2" l="1"/>
  <c r="AB37" i="2" s="1"/>
  <c r="K38" i="2"/>
  <c r="M38" i="2" s="1"/>
  <c r="AA65" i="2"/>
  <c r="W65" i="2"/>
  <c r="Q65" i="2"/>
  <c r="M65" i="2"/>
  <c r="G65" i="2"/>
  <c r="A66" i="2"/>
  <c r="AC65" i="2"/>
  <c r="X65" i="2"/>
  <c r="P65" i="2"/>
  <c r="K65" i="2"/>
  <c r="AB65" i="2"/>
  <c r="V65" i="2"/>
  <c r="O65" i="2"/>
  <c r="H65" i="2"/>
  <c r="Z65" i="2"/>
  <c r="T65" i="2"/>
  <c r="N65" i="2"/>
  <c r="F65" i="2"/>
  <c r="R65" i="2"/>
  <c r="L65" i="2"/>
  <c r="E65" i="2"/>
  <c r="Y65" i="2"/>
  <c r="AC37" i="2"/>
  <c r="V52" i="2"/>
  <c r="R53" i="2" s="1"/>
  <c r="T52" i="2"/>
  <c r="AC66" i="2" l="1"/>
  <c r="Y66" i="2"/>
  <c r="T66" i="2"/>
  <c r="O66" i="2"/>
  <c r="K66" i="2"/>
  <c r="E66" i="2"/>
  <c r="AB66" i="2"/>
  <c r="X66" i="2"/>
  <c r="R66" i="2"/>
  <c r="N66" i="2"/>
  <c r="H66" i="2"/>
  <c r="W66" i="2"/>
  <c r="M66" i="2"/>
  <c r="A67" i="2"/>
  <c r="V66" i="2"/>
  <c r="L66" i="2"/>
  <c r="AA66" i="2"/>
  <c r="Q66" i="2"/>
  <c r="G66" i="2"/>
  <c r="Z66" i="2"/>
  <c r="P66" i="2"/>
  <c r="F66" i="2"/>
  <c r="V53" i="2"/>
  <c r="R54" i="2" s="1"/>
  <c r="T53" i="2"/>
  <c r="X53" i="2"/>
  <c r="X52" i="2"/>
  <c r="N38" i="2"/>
  <c r="O38" i="2" s="1"/>
  <c r="AA38" i="2" s="1"/>
  <c r="AB38" i="2" s="1"/>
  <c r="H39" i="2"/>
  <c r="AC38" i="2" l="1"/>
  <c r="T54" i="2"/>
  <c r="V54" i="2"/>
  <c r="R55" i="2" s="1"/>
  <c r="AA67" i="2"/>
  <c r="W67" i="2"/>
  <c r="Q67" i="2"/>
  <c r="M67" i="2"/>
  <c r="G67" i="2"/>
  <c r="A68" i="2"/>
  <c r="Z67" i="2"/>
  <c r="V67" i="2"/>
  <c r="P67" i="2"/>
  <c r="L67" i="2"/>
  <c r="F67" i="2"/>
  <c r="AC67" i="2"/>
  <c r="Y67" i="2"/>
  <c r="AB67" i="2"/>
  <c r="O67" i="2"/>
  <c r="E67" i="2"/>
  <c r="X67" i="2"/>
  <c r="N67" i="2"/>
  <c r="T67" i="2"/>
  <c r="K67" i="2"/>
  <c r="R67" i="2"/>
  <c r="H67" i="2"/>
  <c r="K39" i="2"/>
  <c r="M39" i="2" s="1"/>
  <c r="N39" i="2" l="1"/>
  <c r="O39" i="2" s="1"/>
  <c r="AA39" i="2" s="1"/>
  <c r="AB39" i="2" s="1"/>
  <c r="H40" i="2"/>
  <c r="T55" i="2"/>
  <c r="V55" i="2" s="1"/>
  <c r="X54" i="2"/>
  <c r="AC68" i="2"/>
  <c r="Y68" i="2"/>
  <c r="T68" i="2"/>
  <c r="O68" i="2"/>
  <c r="K68" i="2"/>
  <c r="E68" i="2"/>
  <c r="AB68" i="2"/>
  <c r="X68" i="2"/>
  <c r="R68" i="2"/>
  <c r="N68" i="2"/>
  <c r="H68" i="2"/>
  <c r="AA68" i="2"/>
  <c r="W68" i="2"/>
  <c r="Q68" i="2"/>
  <c r="M68" i="2"/>
  <c r="G68" i="2"/>
  <c r="V68" i="2"/>
  <c r="P68" i="2"/>
  <c r="A69" i="2"/>
  <c r="L68" i="2"/>
  <c r="Z68" i="2"/>
  <c r="F68" i="2"/>
  <c r="R56" i="2" l="1"/>
  <c r="X55" i="2"/>
  <c r="AC39" i="2"/>
  <c r="K40" i="2"/>
  <c r="M40" i="2" s="1"/>
  <c r="AA69" i="2"/>
  <c r="W69" i="2"/>
  <c r="Q69" i="2"/>
  <c r="M69" i="2"/>
  <c r="G69" i="2"/>
  <c r="A70" i="2"/>
  <c r="Z69" i="2"/>
  <c r="V69" i="2"/>
  <c r="P69" i="2"/>
  <c r="L69" i="2"/>
  <c r="F69" i="2"/>
  <c r="AC69" i="2"/>
  <c r="Y69" i="2"/>
  <c r="T69" i="2"/>
  <c r="O69" i="2"/>
  <c r="K69" i="2"/>
  <c r="E69" i="2"/>
  <c r="N69" i="2"/>
  <c r="AB69" i="2"/>
  <c r="H69" i="2"/>
  <c r="X69" i="2"/>
  <c r="R69" i="2"/>
  <c r="AC70" i="2" l="1"/>
  <c r="Y70" i="2"/>
  <c r="T70" i="2"/>
  <c r="O70" i="2"/>
  <c r="K70" i="2"/>
  <c r="E70" i="2"/>
  <c r="AB70" i="2"/>
  <c r="X70" i="2"/>
  <c r="R70" i="2"/>
  <c r="N70" i="2"/>
  <c r="H70" i="2"/>
  <c r="AA70" i="2"/>
  <c r="W70" i="2"/>
  <c r="Q70" i="2"/>
  <c r="M70" i="2"/>
  <c r="G70" i="2"/>
  <c r="Z70" i="2"/>
  <c r="F70" i="2"/>
  <c r="V70" i="2"/>
  <c r="P70" i="2"/>
  <c r="A71" i="2"/>
  <c r="L70" i="2"/>
  <c r="N40" i="2"/>
  <c r="O40" i="2" s="1"/>
  <c r="AA40" i="2" s="1"/>
  <c r="AB40" i="2" s="1"/>
  <c r="AC40" i="2" s="1"/>
  <c r="H41" i="2"/>
  <c r="V56" i="2"/>
  <c r="R57" i="2" s="1"/>
  <c r="X56" i="2"/>
  <c r="T56" i="2"/>
  <c r="T57" i="2" l="1"/>
  <c r="V57" i="2" s="1"/>
  <c r="K41" i="2"/>
  <c r="M41" i="2" s="1"/>
  <c r="AA71" i="2"/>
  <c r="W71" i="2"/>
  <c r="Q71" i="2"/>
  <c r="M71" i="2"/>
  <c r="G71" i="2"/>
  <c r="A72" i="2"/>
  <c r="Z71" i="2"/>
  <c r="V71" i="2"/>
  <c r="P71" i="2"/>
  <c r="L71" i="2"/>
  <c r="F71" i="2"/>
  <c r="AC71" i="2"/>
  <c r="Y71" i="2"/>
  <c r="T71" i="2"/>
  <c r="O71" i="2"/>
  <c r="K71" i="2"/>
  <c r="E71" i="2"/>
  <c r="R71" i="2"/>
  <c r="N71" i="2"/>
  <c r="AB71" i="2"/>
  <c r="H71" i="2"/>
  <c r="X71" i="2"/>
  <c r="R58" i="2" l="1"/>
  <c r="X57" i="2"/>
  <c r="AC72" i="2"/>
  <c r="Y72" i="2"/>
  <c r="T72" i="2"/>
  <c r="O72" i="2"/>
  <c r="K72" i="2"/>
  <c r="E72" i="2"/>
  <c r="AB72" i="2"/>
  <c r="X72" i="2"/>
  <c r="R72" i="2"/>
  <c r="N72" i="2"/>
  <c r="H72" i="2"/>
  <c r="AA72" i="2"/>
  <c r="W72" i="2"/>
  <c r="Q72" i="2"/>
  <c r="M72" i="2"/>
  <c r="G72" i="2"/>
  <c r="A73" i="2"/>
  <c r="L72" i="2"/>
  <c r="Z72" i="2"/>
  <c r="F72" i="2"/>
  <c r="V72" i="2"/>
  <c r="P72" i="2"/>
  <c r="N41" i="2"/>
  <c r="O41" i="2" s="1"/>
  <c r="AA41" i="2" s="1"/>
  <c r="AB41" i="2" s="1"/>
  <c r="AC41" i="2" s="1"/>
  <c r="H42" i="2"/>
  <c r="AA73" i="2" l="1"/>
  <c r="W73" i="2"/>
  <c r="Q73" i="2"/>
  <c r="M73" i="2"/>
  <c r="G73" i="2"/>
  <c r="A74" i="2"/>
  <c r="Z73" i="2"/>
  <c r="V73" i="2"/>
  <c r="P73" i="2"/>
  <c r="L73" i="2"/>
  <c r="F73" i="2"/>
  <c r="AC73" i="2"/>
  <c r="Y73" i="2"/>
  <c r="T73" i="2"/>
  <c r="O73" i="2"/>
  <c r="K73" i="2"/>
  <c r="E73" i="2"/>
  <c r="X73" i="2"/>
  <c r="R73" i="2"/>
  <c r="N73" i="2"/>
  <c r="AB73" i="2"/>
  <c r="H73" i="2"/>
  <c r="K42" i="2"/>
  <c r="M42" i="2" s="1"/>
  <c r="T58" i="2"/>
  <c r="V58" i="2" s="1"/>
  <c r="R59" i="2" l="1"/>
  <c r="X58" i="2"/>
  <c r="N42" i="2"/>
  <c r="O42" i="2" s="1"/>
  <c r="AA42" i="2" s="1"/>
  <c r="AB42" i="2" s="1"/>
  <c r="AC42" i="2" s="1"/>
  <c r="H43" i="2"/>
  <c r="AC74" i="2"/>
  <c r="Y74" i="2"/>
  <c r="T74" i="2"/>
  <c r="O74" i="2"/>
  <c r="K74" i="2"/>
  <c r="E74" i="2"/>
  <c r="AB74" i="2"/>
  <c r="X74" i="2"/>
  <c r="R74" i="2"/>
  <c r="N74" i="2"/>
  <c r="H74" i="2"/>
  <c r="AA74" i="2"/>
  <c r="W74" i="2"/>
  <c r="Q74" i="2"/>
  <c r="M74" i="2"/>
  <c r="G74" i="2"/>
  <c r="P74" i="2"/>
  <c r="A75" i="2"/>
  <c r="L74" i="2"/>
  <c r="Z74" i="2"/>
  <c r="F74" i="2"/>
  <c r="V74" i="2"/>
  <c r="AA75" i="2" l="1"/>
  <c r="W75" i="2"/>
  <c r="Q75" i="2"/>
  <c r="M75" i="2"/>
  <c r="G75" i="2"/>
  <c r="A76" i="2"/>
  <c r="Z75" i="2"/>
  <c r="V75" i="2"/>
  <c r="P75" i="2"/>
  <c r="L75" i="2"/>
  <c r="F75" i="2"/>
  <c r="AC75" i="2"/>
  <c r="Y75" i="2"/>
  <c r="T75" i="2"/>
  <c r="O75" i="2"/>
  <c r="K75" i="2"/>
  <c r="E75" i="2"/>
  <c r="AB75" i="2"/>
  <c r="H75" i="2"/>
  <c r="X75" i="2"/>
  <c r="R75" i="2"/>
  <c r="N75" i="2"/>
  <c r="K43" i="2"/>
  <c r="M43" i="2" s="1"/>
  <c r="T59" i="2"/>
  <c r="V59" i="2" s="1"/>
  <c r="R60" i="2" l="1"/>
  <c r="X59" i="2"/>
  <c r="H44" i="2"/>
  <c r="N43" i="2"/>
  <c r="O43" i="2" s="1"/>
  <c r="AA43" i="2" s="1"/>
  <c r="AB43" i="2" s="1"/>
  <c r="AC43" i="2" s="1"/>
  <c r="AC76" i="2"/>
  <c r="Y76" i="2"/>
  <c r="T76" i="2"/>
  <c r="O76" i="2"/>
  <c r="K76" i="2"/>
  <c r="E76" i="2"/>
  <c r="AB76" i="2"/>
  <c r="X76" i="2"/>
  <c r="R76" i="2"/>
  <c r="N76" i="2"/>
  <c r="H76" i="2"/>
  <c r="AA76" i="2"/>
  <c r="W76" i="2"/>
  <c r="Q76" i="2"/>
  <c r="M76" i="2"/>
  <c r="G76" i="2"/>
  <c r="V76" i="2"/>
  <c r="P76" i="2"/>
  <c r="A77" i="2"/>
  <c r="L76" i="2"/>
  <c r="Z76" i="2"/>
  <c r="F76" i="2"/>
  <c r="AA77" i="2" l="1"/>
  <c r="W77" i="2"/>
  <c r="Q77" i="2"/>
  <c r="M77" i="2"/>
  <c r="G77" i="2"/>
  <c r="A78" i="2"/>
  <c r="Z77" i="2"/>
  <c r="V77" i="2"/>
  <c r="P77" i="2"/>
  <c r="L77" i="2"/>
  <c r="F77" i="2"/>
  <c r="AC77" i="2"/>
  <c r="Y77" i="2"/>
  <c r="T77" i="2"/>
  <c r="O77" i="2"/>
  <c r="K77" i="2"/>
  <c r="E77" i="2"/>
  <c r="N77" i="2"/>
  <c r="AB77" i="2"/>
  <c r="H77" i="2"/>
  <c r="X77" i="2"/>
  <c r="R77" i="2"/>
  <c r="K44" i="2"/>
  <c r="M44" i="2" s="1"/>
  <c r="T60" i="2"/>
  <c r="X60" i="2"/>
  <c r="V60" i="2"/>
  <c r="R61" i="2" s="1"/>
  <c r="V61" i="2" l="1"/>
  <c r="X61" i="2" s="1"/>
  <c r="T61" i="2"/>
  <c r="N44" i="2"/>
  <c r="O44" i="2" s="1"/>
  <c r="AA44" i="2" s="1"/>
  <c r="AB44" i="2" s="1"/>
  <c r="AC44" i="2" s="1"/>
  <c r="H45" i="2"/>
  <c r="AC78" i="2"/>
  <c r="Y78" i="2"/>
  <c r="T78" i="2"/>
  <c r="O78" i="2"/>
  <c r="K78" i="2"/>
  <c r="E78" i="2"/>
  <c r="AB78" i="2"/>
  <c r="X78" i="2"/>
  <c r="R78" i="2"/>
  <c r="N78" i="2"/>
  <c r="H78" i="2"/>
  <c r="AA78" i="2"/>
  <c r="W78" i="2"/>
  <c r="Q78" i="2"/>
  <c r="M78" i="2"/>
  <c r="G78" i="2"/>
  <c r="Z78" i="2"/>
  <c r="F78" i="2"/>
  <c r="V78" i="2"/>
  <c r="P78" i="2"/>
  <c r="A79" i="2"/>
  <c r="L78" i="2"/>
  <c r="AA79" i="2" l="1"/>
  <c r="W79" i="2"/>
  <c r="Q79" i="2"/>
  <c r="M79" i="2"/>
  <c r="G79" i="2"/>
  <c r="A80" i="2"/>
  <c r="Z79" i="2"/>
  <c r="V79" i="2"/>
  <c r="P79" i="2"/>
  <c r="L79" i="2"/>
  <c r="F79" i="2"/>
  <c r="AC79" i="2"/>
  <c r="Y79" i="2"/>
  <c r="T79" i="2"/>
  <c r="O79" i="2"/>
  <c r="K79" i="2"/>
  <c r="E79" i="2"/>
  <c r="R79" i="2"/>
  <c r="N79" i="2"/>
  <c r="AB79" i="2"/>
  <c r="H79" i="2"/>
  <c r="X79" i="2"/>
  <c r="K45" i="2"/>
  <c r="N45" i="2" l="1"/>
  <c r="O45" i="2" s="1"/>
  <c r="H46" i="2"/>
  <c r="M45" i="2"/>
  <c r="AC80" i="2"/>
  <c r="Y80" i="2"/>
  <c r="T80" i="2"/>
  <c r="O80" i="2"/>
  <c r="K80" i="2"/>
  <c r="E80" i="2"/>
  <c r="AB80" i="2"/>
  <c r="X80" i="2"/>
  <c r="R80" i="2"/>
  <c r="N80" i="2"/>
  <c r="H80" i="2"/>
  <c r="AA80" i="2"/>
  <c r="W80" i="2"/>
  <c r="Q80" i="2"/>
  <c r="M80" i="2"/>
  <c r="G80" i="2"/>
  <c r="A81" i="2"/>
  <c r="L80" i="2"/>
  <c r="Z80" i="2"/>
  <c r="F80" i="2"/>
  <c r="V80" i="2"/>
  <c r="P80" i="2"/>
  <c r="AA45" i="2" l="1"/>
  <c r="AB45" i="2" s="1"/>
  <c r="AC45" i="2" s="1"/>
  <c r="AA81" i="2"/>
  <c r="W81" i="2"/>
  <c r="Q81" i="2"/>
  <c r="M81" i="2"/>
  <c r="G81" i="2"/>
  <c r="A82" i="2"/>
  <c r="Z81" i="2"/>
  <c r="V81" i="2"/>
  <c r="P81" i="2"/>
  <c r="L81" i="2"/>
  <c r="F81" i="2"/>
  <c r="AC81" i="2"/>
  <c r="Y81" i="2"/>
  <c r="T81" i="2"/>
  <c r="O81" i="2"/>
  <c r="K81" i="2"/>
  <c r="E81" i="2"/>
  <c r="X81" i="2"/>
  <c r="R81" i="2"/>
  <c r="N81" i="2"/>
  <c r="AB81" i="2"/>
  <c r="H81" i="2"/>
  <c r="K46" i="2"/>
  <c r="M46" i="2" s="1"/>
  <c r="N46" i="2" l="1"/>
  <c r="O46" i="2" s="1"/>
  <c r="AA46" i="2" s="1"/>
  <c r="AB46" i="2" s="1"/>
  <c r="AC46" i="2" s="1"/>
  <c r="H47" i="2"/>
  <c r="AC82" i="2"/>
  <c r="Y82" i="2"/>
  <c r="T82" i="2"/>
  <c r="O82" i="2"/>
  <c r="K82" i="2"/>
  <c r="E82" i="2"/>
  <c r="AB82" i="2"/>
  <c r="X82" i="2"/>
  <c r="R82" i="2"/>
  <c r="N82" i="2"/>
  <c r="H82" i="2"/>
  <c r="AA82" i="2"/>
  <c r="W82" i="2"/>
  <c r="Q82" i="2"/>
  <c r="M82" i="2"/>
  <c r="G82" i="2"/>
  <c r="P82" i="2"/>
  <c r="A83" i="2"/>
  <c r="L82" i="2"/>
  <c r="Z82" i="2"/>
  <c r="F82" i="2"/>
  <c r="V82" i="2"/>
  <c r="AA83" i="2" l="1"/>
  <c r="W83" i="2"/>
  <c r="Q83" i="2"/>
  <c r="M83" i="2"/>
  <c r="G83" i="2"/>
  <c r="A84" i="2"/>
  <c r="Z83" i="2"/>
  <c r="V83" i="2"/>
  <c r="P83" i="2"/>
  <c r="L83" i="2"/>
  <c r="F83" i="2"/>
  <c r="AC83" i="2"/>
  <c r="Y83" i="2"/>
  <c r="T83" i="2"/>
  <c r="O83" i="2"/>
  <c r="K83" i="2"/>
  <c r="E83" i="2"/>
  <c r="AB83" i="2"/>
  <c r="H83" i="2"/>
  <c r="X83" i="2"/>
  <c r="R83" i="2"/>
  <c r="N83" i="2"/>
  <c r="K47" i="2"/>
  <c r="M47" i="2" s="1"/>
  <c r="H48" i="2" l="1"/>
  <c r="N47" i="2"/>
  <c r="O47" i="2" s="1"/>
  <c r="AA47" i="2" s="1"/>
  <c r="AB47" i="2" s="1"/>
  <c r="AC47" i="2" s="1"/>
  <c r="AC84" i="2"/>
  <c r="Y84" i="2"/>
  <c r="T84" i="2"/>
  <c r="O84" i="2"/>
  <c r="K84" i="2"/>
  <c r="E84" i="2"/>
  <c r="AB84" i="2"/>
  <c r="X84" i="2"/>
  <c r="R84" i="2"/>
  <c r="N84" i="2"/>
  <c r="H84" i="2"/>
  <c r="AA84" i="2"/>
  <c r="W84" i="2"/>
  <c r="Q84" i="2"/>
  <c r="M84" i="2"/>
  <c r="G84" i="2"/>
  <c r="V84" i="2"/>
  <c r="P84" i="2"/>
  <c r="A85" i="2"/>
  <c r="L84" i="2"/>
  <c r="Z84" i="2"/>
  <c r="F84" i="2"/>
  <c r="AA85" i="2" l="1"/>
  <c r="W85" i="2"/>
  <c r="Q85" i="2"/>
  <c r="M85" i="2"/>
  <c r="G85" i="2"/>
  <c r="A86" i="2"/>
  <c r="Z85" i="2"/>
  <c r="V85" i="2"/>
  <c r="P85" i="2"/>
  <c r="L85" i="2"/>
  <c r="F85" i="2"/>
  <c r="AC85" i="2"/>
  <c r="Y85" i="2"/>
  <c r="T85" i="2"/>
  <c r="O85" i="2"/>
  <c r="K85" i="2"/>
  <c r="E85" i="2"/>
  <c r="N85" i="2"/>
  <c r="AB85" i="2"/>
  <c r="H85" i="2"/>
  <c r="X85" i="2"/>
  <c r="R85" i="2"/>
  <c r="K48" i="2"/>
  <c r="M48" i="2" s="1"/>
  <c r="N48" i="2" l="1"/>
  <c r="O48" i="2" s="1"/>
  <c r="AA48" i="2" s="1"/>
  <c r="AB48" i="2" s="1"/>
  <c r="AC48" i="2" s="1"/>
  <c r="H49" i="2"/>
  <c r="AC86" i="2"/>
  <c r="Y86" i="2"/>
  <c r="T86" i="2"/>
  <c r="O86" i="2"/>
  <c r="K86" i="2"/>
  <c r="E86" i="2"/>
  <c r="AB86" i="2"/>
  <c r="X86" i="2"/>
  <c r="R86" i="2"/>
  <c r="N86" i="2"/>
  <c r="H86" i="2"/>
  <c r="AA86" i="2"/>
  <c r="W86" i="2"/>
  <c r="Q86" i="2"/>
  <c r="M86" i="2"/>
  <c r="G86" i="2"/>
  <c r="Z86" i="2"/>
  <c r="F86" i="2"/>
  <c r="V86" i="2"/>
  <c r="P86" i="2"/>
  <c r="L86" i="2"/>
  <c r="A87" i="2"/>
  <c r="K49" i="2" l="1"/>
  <c r="AA87" i="2"/>
  <c r="W87" i="2"/>
  <c r="Q87" i="2"/>
  <c r="M87" i="2"/>
  <c r="G87" i="2"/>
  <c r="A88" i="2"/>
  <c r="Z87" i="2"/>
  <c r="V87" i="2"/>
  <c r="P87" i="2"/>
  <c r="L87" i="2"/>
  <c r="F87" i="2"/>
  <c r="AC87" i="2"/>
  <c r="Y87" i="2"/>
  <c r="T87" i="2"/>
  <c r="O87" i="2"/>
  <c r="K87" i="2"/>
  <c r="E87" i="2"/>
  <c r="R87" i="2"/>
  <c r="N87" i="2"/>
  <c r="AB87" i="2"/>
  <c r="H87" i="2"/>
  <c r="X87" i="2"/>
  <c r="AC88" i="2" l="1"/>
  <c r="Y88" i="2"/>
  <c r="T88" i="2"/>
  <c r="O88" i="2"/>
  <c r="K88" i="2"/>
  <c r="E88" i="2"/>
  <c r="AB88" i="2"/>
  <c r="X88" i="2"/>
  <c r="R88" i="2"/>
  <c r="N88" i="2"/>
  <c r="H88" i="2"/>
  <c r="AA88" i="2"/>
  <c r="W88" i="2"/>
  <c r="Q88" i="2"/>
  <c r="M88" i="2"/>
  <c r="G88" i="2"/>
  <c r="A89" i="2"/>
  <c r="L88" i="2"/>
  <c r="Z88" i="2"/>
  <c r="F88" i="2"/>
  <c r="V88" i="2"/>
  <c r="P88" i="2"/>
  <c r="N49" i="2"/>
  <c r="O49" i="2" s="1"/>
  <c r="H50" i="2"/>
  <c r="M49" i="2"/>
  <c r="AA49" i="2" l="1"/>
  <c r="AB49" i="2" s="1"/>
  <c r="AC49" i="2" s="1"/>
  <c r="K50" i="2"/>
  <c r="M50" i="2" s="1"/>
  <c r="A90" i="2"/>
  <c r="Z89" i="2"/>
  <c r="AC89" i="2"/>
  <c r="Y89" i="2"/>
  <c r="W89" i="2"/>
  <c r="Q89" i="2"/>
  <c r="M89" i="2"/>
  <c r="G89" i="2"/>
  <c r="AB89" i="2"/>
  <c r="V89" i="2"/>
  <c r="P89" i="2"/>
  <c r="L89" i="2"/>
  <c r="F89" i="2"/>
  <c r="AA89" i="2"/>
  <c r="T89" i="2"/>
  <c r="O89" i="2"/>
  <c r="K89" i="2"/>
  <c r="E89" i="2"/>
  <c r="X89" i="2"/>
  <c r="R89" i="2"/>
  <c r="N89" i="2"/>
  <c r="H89" i="2"/>
  <c r="AB90" i="2" l="1"/>
  <c r="X90" i="2"/>
  <c r="R90" i="2"/>
  <c r="N90" i="2"/>
  <c r="H90" i="2"/>
  <c r="AA90" i="2"/>
  <c r="W90" i="2"/>
  <c r="Q90" i="2"/>
  <c r="M90" i="2"/>
  <c r="G90" i="2"/>
  <c r="A91" i="2"/>
  <c r="Z90" i="2"/>
  <c r="V90" i="2"/>
  <c r="AC90" i="2"/>
  <c r="O90" i="2"/>
  <c r="E90" i="2"/>
  <c r="Y90" i="2"/>
  <c r="L90" i="2"/>
  <c r="T90" i="2"/>
  <c r="K90" i="2"/>
  <c r="P90" i="2"/>
  <c r="F90" i="2"/>
  <c r="N50" i="2"/>
  <c r="O50" i="2" s="1"/>
  <c r="AA50" i="2" s="1"/>
  <c r="AB50" i="2" s="1"/>
  <c r="AC50" i="2" s="1"/>
  <c r="H51" i="2"/>
  <c r="A92" i="2" l="1"/>
  <c r="Z91" i="2"/>
  <c r="V91" i="2"/>
  <c r="P91" i="2"/>
  <c r="L91" i="2"/>
  <c r="F91" i="2"/>
  <c r="AC91" i="2"/>
  <c r="Y91" i="2"/>
  <c r="T91" i="2"/>
  <c r="O91" i="2"/>
  <c r="K91" i="2"/>
  <c r="E91" i="2"/>
  <c r="AB91" i="2"/>
  <c r="X91" i="2"/>
  <c r="R91" i="2"/>
  <c r="N91" i="2"/>
  <c r="H91" i="2"/>
  <c r="W91" i="2"/>
  <c r="Q91" i="2"/>
  <c r="M91" i="2"/>
  <c r="AA91" i="2"/>
  <c r="G91" i="2"/>
  <c r="K51" i="2"/>
  <c r="M51" i="2" s="1"/>
  <c r="N51" i="2" l="1"/>
  <c r="O51" i="2" s="1"/>
  <c r="AA51" i="2" s="1"/>
  <c r="AB51" i="2" s="1"/>
  <c r="AC51" i="2" s="1"/>
  <c r="H52" i="2"/>
  <c r="AB92" i="2"/>
  <c r="X92" i="2"/>
  <c r="R92" i="2"/>
  <c r="N92" i="2"/>
  <c r="H92" i="2"/>
  <c r="AA92" i="2"/>
  <c r="W92" i="2"/>
  <c r="Q92" i="2"/>
  <c r="M92" i="2"/>
  <c r="G92" i="2"/>
  <c r="A93" i="2"/>
  <c r="Z92" i="2"/>
  <c r="V92" i="2"/>
  <c r="P92" i="2"/>
  <c r="L92" i="2"/>
  <c r="F92" i="2"/>
  <c r="O92" i="2"/>
  <c r="AC92" i="2"/>
  <c r="K92" i="2"/>
  <c r="Y92" i="2"/>
  <c r="E92" i="2"/>
  <c r="T92" i="2"/>
  <c r="K52" i="2" l="1"/>
  <c r="M52" i="2" s="1"/>
  <c r="A94" i="2"/>
  <c r="Z93" i="2"/>
  <c r="V93" i="2"/>
  <c r="P93" i="2"/>
  <c r="L93" i="2"/>
  <c r="F93" i="2"/>
  <c r="AC93" i="2"/>
  <c r="Y93" i="2"/>
  <c r="T93" i="2"/>
  <c r="O93" i="2"/>
  <c r="K93" i="2"/>
  <c r="E93" i="2"/>
  <c r="AB93" i="2"/>
  <c r="X93" i="2"/>
  <c r="R93" i="2"/>
  <c r="N93" i="2"/>
  <c r="H93" i="2"/>
  <c r="AA93" i="2"/>
  <c r="G93" i="2"/>
  <c r="W93" i="2"/>
  <c r="Q93" i="2"/>
  <c r="M93" i="2"/>
  <c r="AB94" i="2" l="1"/>
  <c r="X94" i="2"/>
  <c r="R94" i="2"/>
  <c r="N94" i="2"/>
  <c r="H94" i="2"/>
  <c r="AA94" i="2"/>
  <c r="W94" i="2"/>
  <c r="Q94" i="2"/>
  <c r="M94" i="2"/>
  <c r="G94" i="2"/>
  <c r="A95" i="2"/>
  <c r="Z94" i="2"/>
  <c r="V94" i="2"/>
  <c r="P94" i="2"/>
  <c r="L94" i="2"/>
  <c r="F94" i="2"/>
  <c r="T94" i="2"/>
  <c r="O94" i="2"/>
  <c r="AC94" i="2"/>
  <c r="K94" i="2"/>
  <c r="Y94" i="2"/>
  <c r="E94" i="2"/>
  <c r="N52" i="2"/>
  <c r="O52" i="2" s="1"/>
  <c r="AA52" i="2" s="1"/>
  <c r="AB52" i="2" s="1"/>
  <c r="AC52" i="2" s="1"/>
  <c r="H53" i="2"/>
  <c r="A96" i="2" l="1"/>
  <c r="Z95" i="2"/>
  <c r="V95" i="2"/>
  <c r="P95" i="2"/>
  <c r="L95" i="2"/>
  <c r="F95" i="2"/>
  <c r="AC95" i="2"/>
  <c r="Y95" i="2"/>
  <c r="T95" i="2"/>
  <c r="O95" i="2"/>
  <c r="K95" i="2"/>
  <c r="E95" i="2"/>
  <c r="AB95" i="2"/>
  <c r="X95" i="2"/>
  <c r="R95" i="2"/>
  <c r="N95" i="2"/>
  <c r="H95" i="2"/>
  <c r="M95" i="2"/>
  <c r="AA95" i="2"/>
  <c r="G95" i="2"/>
  <c r="W95" i="2"/>
  <c r="Q95" i="2"/>
  <c r="K53" i="2"/>
  <c r="M53" i="2" s="1"/>
  <c r="N53" i="2" l="1"/>
  <c r="O53" i="2" s="1"/>
  <c r="AA53" i="2" s="1"/>
  <c r="AB53" i="2" s="1"/>
  <c r="AC53" i="2" s="1"/>
  <c r="H54" i="2"/>
  <c r="AB96" i="2"/>
  <c r="X96" i="2"/>
  <c r="R96" i="2"/>
  <c r="N96" i="2"/>
  <c r="H96" i="2"/>
  <c r="AA96" i="2"/>
  <c r="W96" i="2"/>
  <c r="Q96" i="2"/>
  <c r="M96" i="2"/>
  <c r="G96" i="2"/>
  <c r="A97" i="2"/>
  <c r="Z96" i="2"/>
  <c r="V96" i="2"/>
  <c r="P96" i="2"/>
  <c r="L96" i="2"/>
  <c r="F96" i="2"/>
  <c r="Y96" i="2"/>
  <c r="E96" i="2"/>
  <c r="T96" i="2"/>
  <c r="O96" i="2"/>
  <c r="AC96" i="2"/>
  <c r="K96" i="2"/>
  <c r="A98" i="2" l="1"/>
  <c r="Z97" i="2"/>
  <c r="V97" i="2"/>
  <c r="P97" i="2"/>
  <c r="L97" i="2"/>
  <c r="F97" i="2"/>
  <c r="AC97" i="2"/>
  <c r="Y97" i="2"/>
  <c r="T97" i="2"/>
  <c r="O97" i="2"/>
  <c r="K97" i="2"/>
  <c r="E97" i="2"/>
  <c r="AB97" i="2"/>
  <c r="X97" i="2"/>
  <c r="R97" i="2"/>
  <c r="N97" i="2"/>
  <c r="H97" i="2"/>
  <c r="Q97" i="2"/>
  <c r="M97" i="2"/>
  <c r="AA97" i="2"/>
  <c r="G97" i="2"/>
  <c r="W97" i="2"/>
  <c r="K54" i="2"/>
  <c r="M54" i="2" s="1"/>
  <c r="N54" i="2" l="1"/>
  <c r="O54" i="2" s="1"/>
  <c r="AA54" i="2" s="1"/>
  <c r="AB54" i="2" s="1"/>
  <c r="AC54" i="2" s="1"/>
  <c r="H55" i="2"/>
  <c r="AB98" i="2"/>
  <c r="X98" i="2"/>
  <c r="R98" i="2"/>
  <c r="N98" i="2"/>
  <c r="H98" i="2"/>
  <c r="AA98" i="2"/>
  <c r="W98" i="2"/>
  <c r="Q98" i="2"/>
  <c r="M98" i="2"/>
  <c r="G98" i="2"/>
  <c r="A99" i="2"/>
  <c r="Z98" i="2"/>
  <c r="V98" i="2"/>
  <c r="P98" i="2"/>
  <c r="L98" i="2"/>
  <c r="F98" i="2"/>
  <c r="AC98" i="2"/>
  <c r="K98" i="2"/>
  <c r="Y98" i="2"/>
  <c r="E98" i="2"/>
  <c r="T98" i="2"/>
  <c r="O98" i="2"/>
  <c r="K55" i="2" l="1"/>
  <c r="AA99" i="2"/>
  <c r="W99" i="2"/>
  <c r="Q99" i="2"/>
  <c r="M99" i="2"/>
  <c r="A100" i="2"/>
  <c r="Z99" i="2"/>
  <c r="V99" i="2"/>
  <c r="P99" i="2"/>
  <c r="AC99" i="2"/>
  <c r="T99" i="2"/>
  <c r="L99" i="2"/>
  <c r="F99" i="2"/>
  <c r="AB99" i="2"/>
  <c r="R99" i="2"/>
  <c r="K99" i="2"/>
  <c r="E99" i="2"/>
  <c r="Y99" i="2"/>
  <c r="O99" i="2"/>
  <c r="H99" i="2"/>
  <c r="X99" i="2"/>
  <c r="N99" i="2"/>
  <c r="G99" i="2"/>
  <c r="AC100" i="2" l="1"/>
  <c r="Y100" i="2"/>
  <c r="T100" i="2"/>
  <c r="O100" i="2"/>
  <c r="K100" i="2"/>
  <c r="E100" i="2"/>
  <c r="AB100" i="2"/>
  <c r="X100" i="2"/>
  <c r="R100" i="2"/>
  <c r="N100" i="2"/>
  <c r="H100" i="2"/>
  <c r="W100" i="2"/>
  <c r="M100" i="2"/>
  <c r="A101" i="2"/>
  <c r="V100" i="2"/>
  <c r="L100" i="2"/>
  <c r="AA100" i="2"/>
  <c r="Q100" i="2"/>
  <c r="G100" i="2"/>
  <c r="F100" i="2"/>
  <c r="Z100" i="2"/>
  <c r="P100" i="2"/>
  <c r="N55" i="2"/>
  <c r="O55" i="2" s="1"/>
  <c r="H56" i="2"/>
  <c r="M55" i="2"/>
  <c r="K56" i="2" l="1"/>
  <c r="M56" i="2" s="1"/>
  <c r="AA101" i="2"/>
  <c r="W101" i="2"/>
  <c r="Q101" i="2"/>
  <c r="M101" i="2"/>
  <c r="G101" i="2"/>
  <c r="A102" i="2"/>
  <c r="Z101" i="2"/>
  <c r="V101" i="2"/>
  <c r="P101" i="2"/>
  <c r="L101" i="2"/>
  <c r="F101" i="2"/>
  <c r="Y101" i="2"/>
  <c r="O101" i="2"/>
  <c r="E101" i="2"/>
  <c r="X101" i="2"/>
  <c r="N101" i="2"/>
  <c r="AC101" i="2"/>
  <c r="T101" i="2"/>
  <c r="K101" i="2"/>
  <c r="R101" i="2"/>
  <c r="H101" i="2"/>
  <c r="AB101" i="2"/>
  <c r="AA55" i="2"/>
  <c r="AB55" i="2" s="1"/>
  <c r="AC55" i="2" s="1"/>
  <c r="AC102" i="2" l="1"/>
  <c r="Y102" i="2"/>
  <c r="T102" i="2"/>
  <c r="O102" i="2"/>
  <c r="K102" i="2"/>
  <c r="E102" i="2"/>
  <c r="AB102" i="2"/>
  <c r="X102" i="2"/>
  <c r="R102" i="2"/>
  <c r="N102" i="2"/>
  <c r="H102" i="2"/>
  <c r="AA102" i="2"/>
  <c r="Q102" i="2"/>
  <c r="G102" i="2"/>
  <c r="Z102" i="2"/>
  <c r="P102" i="2"/>
  <c r="F102" i="2"/>
  <c r="W102" i="2"/>
  <c r="M102" i="2"/>
  <c r="A103" i="2"/>
  <c r="V102" i="2"/>
  <c r="L102" i="2"/>
  <c r="N56" i="2"/>
  <c r="O56" i="2" s="1"/>
  <c r="AA56" i="2" s="1"/>
  <c r="AB56" i="2" s="1"/>
  <c r="AC56" i="2" s="1"/>
  <c r="H57" i="2"/>
  <c r="AA103" i="2" l="1"/>
  <c r="W103" i="2"/>
  <c r="Q103" i="2"/>
  <c r="M103" i="2"/>
  <c r="G103" i="2"/>
  <c r="A104" i="2"/>
  <c r="Z103" i="2"/>
  <c r="V103" i="2"/>
  <c r="P103" i="2"/>
  <c r="L103" i="2"/>
  <c r="F103" i="2"/>
  <c r="AC103" i="2"/>
  <c r="T103" i="2"/>
  <c r="K103" i="2"/>
  <c r="AB103" i="2"/>
  <c r="R103" i="2"/>
  <c r="H103" i="2"/>
  <c r="Y103" i="2"/>
  <c r="O103" i="2"/>
  <c r="E103" i="2"/>
  <c r="X103" i="2"/>
  <c r="N103" i="2"/>
  <c r="K57" i="2"/>
  <c r="M57" i="2" s="1"/>
  <c r="H58" i="2" l="1"/>
  <c r="N57" i="2"/>
  <c r="O57" i="2" s="1"/>
  <c r="AA57" i="2" s="1"/>
  <c r="AB57" i="2" s="1"/>
  <c r="AC57" i="2" s="1"/>
  <c r="AC104" i="2"/>
  <c r="Y104" i="2"/>
  <c r="T104" i="2"/>
  <c r="O104" i="2"/>
  <c r="K104" i="2"/>
  <c r="E104" i="2"/>
  <c r="AB104" i="2"/>
  <c r="X104" i="2"/>
  <c r="R104" i="2"/>
  <c r="N104" i="2"/>
  <c r="H104" i="2"/>
  <c r="W104" i="2"/>
  <c r="M104" i="2"/>
  <c r="A105" i="2"/>
  <c r="V104" i="2"/>
  <c r="L104" i="2"/>
  <c r="AA104" i="2"/>
  <c r="Q104" i="2"/>
  <c r="G104" i="2"/>
  <c r="P104" i="2"/>
  <c r="F104" i="2"/>
  <c r="Z104" i="2"/>
  <c r="K58" i="2" l="1"/>
  <c r="M58" i="2" s="1"/>
  <c r="AA105" i="2"/>
  <c r="W105" i="2"/>
  <c r="Q105" i="2"/>
  <c r="M105" i="2"/>
  <c r="G105" i="2"/>
  <c r="A106" i="2"/>
  <c r="Z105" i="2"/>
  <c r="V105" i="2"/>
  <c r="P105" i="2"/>
  <c r="L105" i="2"/>
  <c r="F105" i="2"/>
  <c r="Y105" i="2"/>
  <c r="O105" i="2"/>
  <c r="E105" i="2"/>
  <c r="X105" i="2"/>
  <c r="N105" i="2"/>
  <c r="AC105" i="2"/>
  <c r="T105" i="2"/>
  <c r="K105" i="2"/>
  <c r="AB105" i="2"/>
  <c r="R105" i="2"/>
  <c r="H105" i="2"/>
  <c r="AA106" i="2" l="1"/>
  <c r="A107" i="2"/>
  <c r="Y106" i="2"/>
  <c r="T106" i="2"/>
  <c r="O106" i="2"/>
  <c r="K106" i="2"/>
  <c r="E106" i="2"/>
  <c r="AC106" i="2"/>
  <c r="X106" i="2"/>
  <c r="R106" i="2"/>
  <c r="N106" i="2"/>
  <c r="H106" i="2"/>
  <c r="AB106" i="2"/>
  <c r="Q106" i="2"/>
  <c r="G106" i="2"/>
  <c r="Z106" i="2"/>
  <c r="P106" i="2"/>
  <c r="F106" i="2"/>
  <c r="W106" i="2"/>
  <c r="M106" i="2"/>
  <c r="V106" i="2"/>
  <c r="L106" i="2"/>
  <c r="N58" i="2"/>
  <c r="O58" i="2" s="1"/>
  <c r="AA58" i="2" s="1"/>
  <c r="AB58" i="2" s="1"/>
  <c r="AC58" i="2" s="1"/>
  <c r="H59" i="2"/>
  <c r="AC107" i="2" l="1"/>
  <c r="Y107" i="2"/>
  <c r="T107" i="2"/>
  <c r="O107" i="2"/>
  <c r="K107" i="2"/>
  <c r="E107" i="2"/>
  <c r="Z107" i="2"/>
  <c r="A108" i="2"/>
  <c r="X107" i="2"/>
  <c r="Q107" i="2"/>
  <c r="L107" i="2"/>
  <c r="AB107" i="2"/>
  <c r="W107" i="2"/>
  <c r="P107" i="2"/>
  <c r="H107" i="2"/>
  <c r="N107" i="2"/>
  <c r="AA107" i="2"/>
  <c r="M107" i="2"/>
  <c r="V107" i="2"/>
  <c r="G107" i="2"/>
  <c r="R107" i="2"/>
  <c r="F107" i="2"/>
  <c r="K59" i="2"/>
  <c r="M59" i="2"/>
  <c r="AC108" i="2" l="1"/>
  <c r="Y108" i="2"/>
  <c r="T108" i="2"/>
  <c r="O108" i="2"/>
  <c r="AA108" i="2"/>
  <c r="W108" i="2"/>
  <c r="Q108" i="2"/>
  <c r="M108" i="2"/>
  <c r="G108" i="2"/>
  <c r="A109" i="2"/>
  <c r="V108" i="2"/>
  <c r="L108" i="2"/>
  <c r="E108" i="2"/>
  <c r="AB108" i="2"/>
  <c r="R108" i="2"/>
  <c r="K108" i="2"/>
  <c r="Z108" i="2"/>
  <c r="P108" i="2"/>
  <c r="H108" i="2"/>
  <c r="F108" i="2"/>
  <c r="X108" i="2"/>
  <c r="N108" i="2"/>
  <c r="N59" i="2"/>
  <c r="O59" i="2" s="1"/>
  <c r="AA59" i="2" s="1"/>
  <c r="AB59" i="2" s="1"/>
  <c r="AC59" i="2" s="1"/>
  <c r="H60" i="2"/>
  <c r="K60" i="2" l="1"/>
  <c r="M60" i="2" s="1"/>
  <c r="AA109" i="2"/>
  <c r="W109" i="2"/>
  <c r="Q109" i="2"/>
  <c r="M109" i="2"/>
  <c r="G109" i="2"/>
  <c r="AC109" i="2"/>
  <c r="Y109" i="2"/>
  <c r="T109" i="2"/>
  <c r="O109" i="2"/>
  <c r="K109" i="2"/>
  <c r="E109" i="2"/>
  <c r="X109" i="2"/>
  <c r="N109" i="2"/>
  <c r="A110" i="2"/>
  <c r="V109" i="2"/>
  <c r="L109" i="2"/>
  <c r="AB109" i="2"/>
  <c r="R109" i="2"/>
  <c r="H109" i="2"/>
  <c r="P109" i="2"/>
  <c r="F109" i="2"/>
  <c r="Z109" i="2"/>
  <c r="AC110" i="2" l="1"/>
  <c r="Y110" i="2"/>
  <c r="T110" i="2"/>
  <c r="O110" i="2"/>
  <c r="K110" i="2"/>
  <c r="E110" i="2"/>
  <c r="AA110" i="2"/>
  <c r="W110" i="2"/>
  <c r="Q110" i="2"/>
  <c r="M110" i="2"/>
  <c r="G110" i="2"/>
  <c r="Z110" i="2"/>
  <c r="P110" i="2"/>
  <c r="F110" i="2"/>
  <c r="X110" i="2"/>
  <c r="N110" i="2"/>
  <c r="A111" i="2"/>
  <c r="V110" i="2"/>
  <c r="L110" i="2"/>
  <c r="AB110" i="2"/>
  <c r="R110" i="2"/>
  <c r="H110" i="2"/>
  <c r="N60" i="2"/>
  <c r="O60" i="2" s="1"/>
  <c r="AA60" i="2" s="1"/>
  <c r="AB60" i="2" s="1"/>
  <c r="AC60" i="2" s="1"/>
  <c r="H61" i="2"/>
  <c r="AA111" i="2" l="1"/>
  <c r="W111" i="2"/>
  <c r="Q111" i="2"/>
  <c r="M111" i="2"/>
  <c r="G111" i="2"/>
  <c r="AC111" i="2"/>
  <c r="Y111" i="2"/>
  <c r="T111" i="2"/>
  <c r="O111" i="2"/>
  <c r="K111" i="2"/>
  <c r="E111" i="2"/>
  <c r="AB111" i="2"/>
  <c r="R111" i="2"/>
  <c r="H111" i="2"/>
  <c r="Z111" i="2"/>
  <c r="P111" i="2"/>
  <c r="F111" i="2"/>
  <c r="X111" i="2"/>
  <c r="N111" i="2"/>
  <c r="A112" i="2"/>
  <c r="V111" i="2"/>
  <c r="L111" i="2"/>
  <c r="K61" i="2"/>
  <c r="N61" i="2" s="1"/>
  <c r="O61" i="2" s="1"/>
  <c r="M61" i="2"/>
  <c r="AA61" i="2" s="1"/>
  <c r="AB61" i="2" s="1"/>
  <c r="AC61" i="2" s="1"/>
  <c r="AC112" i="2" l="1"/>
  <c r="Y112" i="2"/>
  <c r="T112" i="2"/>
  <c r="O112" i="2"/>
  <c r="K112" i="2"/>
  <c r="E112" i="2"/>
  <c r="AA112" i="2"/>
  <c r="W112" i="2"/>
  <c r="Q112" i="2"/>
  <c r="M112" i="2"/>
  <c r="G112" i="2"/>
  <c r="A113" i="2"/>
  <c r="V112" i="2"/>
  <c r="L112" i="2"/>
  <c r="AB112" i="2"/>
  <c r="R112" i="2"/>
  <c r="H112" i="2"/>
  <c r="Z112" i="2"/>
  <c r="P112" i="2"/>
  <c r="F112" i="2"/>
  <c r="N112" i="2"/>
  <c r="X112" i="2"/>
  <c r="AA113" i="2" l="1"/>
  <c r="W113" i="2"/>
  <c r="Q113" i="2"/>
  <c r="M113" i="2"/>
  <c r="G113" i="2"/>
  <c r="AC113" i="2"/>
  <c r="Y113" i="2"/>
  <c r="T113" i="2"/>
  <c r="O113" i="2"/>
  <c r="K113" i="2"/>
  <c r="E113" i="2"/>
  <c r="X113" i="2"/>
  <c r="N113" i="2"/>
  <c r="A114" i="2"/>
  <c r="V113" i="2"/>
  <c r="L113" i="2"/>
  <c r="AB113" i="2"/>
  <c r="R113" i="2"/>
  <c r="H113" i="2"/>
  <c r="Z113" i="2"/>
  <c r="P113" i="2"/>
  <c r="F113" i="2"/>
  <c r="AC114" i="2" l="1"/>
  <c r="Y114" i="2"/>
  <c r="T114" i="2"/>
  <c r="O114" i="2"/>
  <c r="K114" i="2"/>
  <c r="E114" i="2"/>
  <c r="AA114" i="2"/>
  <c r="W114" i="2"/>
  <c r="Q114" i="2"/>
  <c r="M114" i="2"/>
  <c r="G114" i="2"/>
  <c r="Z114" i="2"/>
  <c r="P114" i="2"/>
  <c r="F114" i="2"/>
  <c r="X114" i="2"/>
  <c r="N114" i="2"/>
  <c r="A115" i="2"/>
  <c r="V114" i="2"/>
  <c r="L114" i="2"/>
  <c r="AB114" i="2"/>
  <c r="R114" i="2"/>
  <c r="H114" i="2"/>
  <c r="AA115" i="2" l="1"/>
  <c r="W115" i="2"/>
  <c r="Q115" i="2"/>
  <c r="M115" i="2"/>
  <c r="G115" i="2"/>
  <c r="AC115" i="2"/>
  <c r="Y115" i="2"/>
  <c r="T115" i="2"/>
  <c r="O115" i="2"/>
  <c r="K115" i="2"/>
  <c r="E115" i="2"/>
  <c r="AB115" i="2"/>
  <c r="R115" i="2"/>
  <c r="H115" i="2"/>
  <c r="Z115" i="2"/>
  <c r="P115" i="2"/>
  <c r="F115" i="2"/>
  <c r="X115" i="2"/>
  <c r="N115" i="2"/>
  <c r="L115" i="2"/>
  <c r="A116" i="2"/>
  <c r="V115" i="2"/>
  <c r="AC116" i="2" l="1"/>
  <c r="Y116" i="2"/>
  <c r="T116" i="2"/>
  <c r="O116" i="2"/>
  <c r="K116" i="2"/>
  <c r="E116" i="2"/>
  <c r="AA116" i="2"/>
  <c r="W116" i="2"/>
  <c r="Q116" i="2"/>
  <c r="M116" i="2"/>
  <c r="G116" i="2"/>
  <c r="A117" i="2"/>
  <c r="V116" i="2"/>
  <c r="L116" i="2"/>
  <c r="AB116" i="2"/>
  <c r="R116" i="2"/>
  <c r="H116" i="2"/>
  <c r="Z116" i="2"/>
  <c r="P116" i="2"/>
  <c r="F116" i="2"/>
  <c r="X116" i="2"/>
  <c r="N116" i="2"/>
  <c r="AA117" i="2" l="1"/>
  <c r="W117" i="2"/>
  <c r="Q117" i="2"/>
  <c r="M117" i="2"/>
  <c r="G117" i="2"/>
  <c r="AC117" i="2"/>
  <c r="Y117" i="2"/>
  <c r="T117" i="2"/>
  <c r="O117" i="2"/>
  <c r="K117" i="2"/>
  <c r="E117" i="2"/>
  <c r="X117" i="2"/>
  <c r="N117" i="2"/>
  <c r="A118" i="2"/>
  <c r="V117" i="2"/>
  <c r="L117" i="2"/>
  <c r="AB117" i="2"/>
  <c r="R117" i="2"/>
  <c r="H117" i="2"/>
  <c r="Z117" i="2"/>
  <c r="P117" i="2"/>
  <c r="F117" i="2"/>
  <c r="AC118" i="2" l="1"/>
  <c r="Y118" i="2"/>
  <c r="T118" i="2"/>
  <c r="O118" i="2"/>
  <c r="K118" i="2"/>
  <c r="E118" i="2"/>
  <c r="AA118" i="2"/>
  <c r="W118" i="2"/>
  <c r="Q118" i="2"/>
  <c r="M118" i="2"/>
  <c r="G118" i="2"/>
  <c r="Z118" i="2"/>
  <c r="P118" i="2"/>
  <c r="F118" i="2"/>
  <c r="X118" i="2"/>
  <c r="N118" i="2"/>
  <c r="A119" i="2"/>
  <c r="V118" i="2"/>
  <c r="L118" i="2"/>
  <c r="H118" i="2"/>
  <c r="AB118" i="2"/>
  <c r="R118" i="2"/>
  <c r="AA119" i="2" l="1"/>
  <c r="W119" i="2"/>
  <c r="Q119" i="2"/>
  <c r="M119" i="2"/>
  <c r="G119" i="2"/>
  <c r="AC119" i="2"/>
  <c r="Y119" i="2"/>
  <c r="T119" i="2"/>
  <c r="O119" i="2"/>
  <c r="K119" i="2"/>
  <c r="E119" i="2"/>
  <c r="AB119" i="2"/>
  <c r="R119" i="2"/>
  <c r="H119" i="2"/>
  <c r="Z119" i="2"/>
  <c r="P119" i="2"/>
  <c r="F119" i="2"/>
  <c r="X119" i="2"/>
  <c r="N119" i="2"/>
  <c r="V119" i="2"/>
  <c r="L119" i="2"/>
  <c r="A120" i="2"/>
  <c r="AC120" i="2" l="1"/>
  <c r="Y120" i="2"/>
  <c r="T120" i="2"/>
  <c r="O120" i="2"/>
  <c r="K120" i="2"/>
  <c r="E120" i="2"/>
  <c r="AA120" i="2"/>
  <c r="W120" i="2"/>
  <c r="Q120" i="2"/>
  <c r="M120" i="2"/>
  <c r="G120" i="2"/>
  <c r="A121" i="2"/>
  <c r="V120" i="2"/>
  <c r="L120" i="2"/>
  <c r="AB120" i="2"/>
  <c r="R120" i="2"/>
  <c r="H120" i="2"/>
  <c r="Z120" i="2"/>
  <c r="P120" i="2"/>
  <c r="F120" i="2"/>
  <c r="X120" i="2"/>
  <c r="N120" i="2"/>
  <c r="AA121" i="2" l="1"/>
  <c r="W121" i="2"/>
  <c r="Q121" i="2"/>
  <c r="M121" i="2"/>
  <c r="G121" i="2"/>
  <c r="AC121" i="2"/>
  <c r="Y121" i="2"/>
  <c r="T121" i="2"/>
  <c r="O121" i="2"/>
  <c r="K121" i="2"/>
  <c r="E121" i="2"/>
  <c r="X121" i="2"/>
  <c r="N121" i="2"/>
  <c r="V121" i="2"/>
  <c r="L121" i="2"/>
  <c r="AB121" i="2"/>
  <c r="R121" i="2"/>
  <c r="H121" i="2"/>
  <c r="F121" i="2"/>
  <c r="Z121" i="2"/>
  <c r="P121" i="2"/>
</calcChain>
</file>

<file path=xl/sharedStrings.xml><?xml version="1.0" encoding="utf-8"?>
<sst xmlns="http://schemas.openxmlformats.org/spreadsheetml/2006/main" count="110" uniqueCount="97">
  <si>
    <t>Facility &amp; Model Assumptions</t>
  </si>
  <si>
    <t>Item</t>
  </si>
  <si>
    <t>Value</t>
  </si>
  <si>
    <t>Notes</t>
  </si>
  <si>
    <t>Close Date</t>
  </si>
  <si>
    <t>Update to the actual close date.</t>
  </si>
  <si>
    <t>Revolver Commitment (Committed)</t>
  </si>
  <si>
    <t>Base committed amount at close.</t>
  </si>
  <si>
    <t>Revolver Accordion (Uncommitted)</t>
  </si>
  <si>
    <t>Optional accordion not committed at close.</t>
  </si>
  <si>
    <t>Accordion Activation Date (optional)</t>
  </si>
  <si>
    <t>Enter the effective date if the accordion is approved.</t>
  </si>
  <si>
    <t>Revolver Maturity</t>
  </si>
  <si>
    <t>Facility matures August 31, 2028.</t>
  </si>
  <si>
    <t>Term Loan Commitment</t>
  </si>
  <si>
    <t>Total senior growth capital term loan capacity.</t>
  </si>
  <si>
    <t>Term Loan Draw Period End</t>
  </si>
  <si>
    <t>Last date to draw the term loan.</t>
  </si>
  <si>
    <t>Term Loan Interest-Only End</t>
  </si>
  <si>
    <t>Principal amortization begins after this month.</t>
  </si>
  <si>
    <t>Term Loan Maturity</t>
  </si>
  <si>
    <t>Final maturity date.</t>
  </si>
  <si>
    <t>Revolver Spread (over Prime)</t>
  </si>
  <si>
    <t>Add to Prime before applying the floor.</t>
  </si>
  <si>
    <t>Term Loan Spread (over Prime)</t>
  </si>
  <si>
    <t>Reference Rate Floor</t>
  </si>
  <si>
    <t>All-in rate floor across both facilities.</t>
  </si>
  <si>
    <t>Revolver Unused Fee (annual)</t>
  </si>
  <si>
    <t>Accrues monthly on undrawn committed amounts.</t>
  </si>
  <si>
    <t>Revolver Commitment Fee Installment %</t>
  </si>
  <si>
    <t>0.10% installments due at close, 1st anniversary, and 2nd anniversary.</t>
  </si>
  <si>
    <t>Revolver Early Termination Fee %</t>
  </si>
  <si>
    <t>1.00% of commitment if terminated within 12 months.</t>
  </si>
  <si>
    <t>Revolver Termination Date (optional)</t>
  </si>
  <si>
    <t>Populate if the revolver is cancelled to trigger fee.</t>
  </si>
  <si>
    <t>Term Loan Prepayment Penalty %</t>
  </si>
  <si>
    <t>2.00% of voluntary prepayments within first 12 months.</t>
  </si>
  <si>
    <t>Default Base Rate (Prime)</t>
  </si>
  <si>
    <t>Starting Prime assumption; override by month on the schedule.</t>
  </si>
  <si>
    <t>Default Net Revenue Churn</t>
  </si>
  <si>
    <t>Borrowing base uses this if monthly churn input left blank.</t>
  </si>
  <si>
    <t>Default Monthly MRR</t>
  </si>
  <si>
    <t>Borrowing base uses this if monthly MRR input left blank.</t>
  </si>
  <si>
    <t>Revolver Early Termination Window End</t>
  </si>
  <si>
    <t>Last day early termination fee applies.</t>
  </si>
  <si>
    <t>Term Loan Prepay Penalty End</t>
  </si>
  <si>
    <t>Last day term loan prepay fee applies.</t>
  </si>
  <si>
    <t>Initial Revolver Balance</t>
  </si>
  <si>
    <t>Outstanding revolver balance at close.</t>
  </si>
  <si>
    <t>Initial Term Loan Balance</t>
  </si>
  <si>
    <t>Outstanding term loan balance at close.</t>
  </si>
  <si>
    <t>Term Loan Amortization Start</t>
  </si>
  <si>
    <t>Begins the month after interest-only ends.</t>
  </si>
  <si>
    <t>Term Loan Amortization Months</t>
  </si>
  <si>
    <t>Equal principal amortization over 24 months.</t>
  </si>
  <si>
    <t>Term Loan Amortization End</t>
  </si>
  <si>
    <t>Last scheduled amortization month.</t>
  </si>
  <si>
    <t>Model End Date (optional override)</t>
  </si>
  <si>
    <t>Populate to stop the schedule early.</t>
  </si>
  <si>
    <t>Computed Model End Date</t>
  </si>
  <si>
    <t>Latest of revolver maturity, term amort end, or term maturity.</t>
  </si>
  <si>
    <t>Month End</t>
  </si>
  <si>
    <t>Base Rate (Prime) %</t>
  </si>
  <si>
    <t>Monthly MRR</t>
  </si>
  <si>
    <t>Net Revenue Churn %</t>
  </si>
  <si>
    <t>Effective Advance Rate</t>
  </si>
  <si>
    <t>Borrowing Base Availability</t>
  </si>
  <si>
    <t>Available Commitment</t>
  </si>
  <si>
    <t>Revolver Beginning Balance</t>
  </si>
  <si>
    <t>Revolver Draws (Manual)</t>
  </si>
  <si>
    <t>Revolver Repayments (Manual)</t>
  </si>
  <si>
    <t>Revolver Ending Balance</t>
  </si>
  <si>
    <t>Revolver Interest Rate %</t>
  </si>
  <si>
    <t>Revolver Interest Expense</t>
  </si>
  <si>
    <t>Revolver Unused Amount</t>
  </si>
  <si>
    <t>Revolver Unused Fee</t>
  </si>
  <si>
    <t>Revolver Commitment Fee</t>
  </si>
  <si>
    <t>Revolver Early Termination Fee</t>
  </si>
  <si>
    <t>Term Loan Beginning Balance</t>
  </si>
  <si>
    <t>Term Loan Draws (Manual)</t>
  </si>
  <si>
    <t>Term Loan Scheduled Principal</t>
  </si>
  <si>
    <t>Term Loan Voluntary Prepay (Manual)</t>
  </si>
  <si>
    <t>Term Loan Ending Balance</t>
  </si>
  <si>
    <t>Term Loan Interest Rate %</t>
  </si>
  <si>
    <t>Term Loan Interest Expense</t>
  </si>
  <si>
    <t>Term Loan Prepayment Penalty</t>
  </si>
  <si>
    <t>Total Cash Inflows</t>
  </si>
  <si>
    <t>Total Cash Outflows</t>
  </si>
  <si>
    <t>Net Cash Flow</t>
  </si>
  <si>
    <t>Cumulative Net Cash Flow</t>
  </si>
  <si>
    <t>Key Terms Snapshot</t>
  </si>
  <si>
    <t>Detail</t>
  </si>
  <si>
    <t>Revolver Interest Rate</t>
  </si>
  <si>
    <t>Revolver Commitment Fee Installments</t>
  </si>
  <si>
    <t>Borrowing Base Advance Rate</t>
  </si>
  <si>
    <t>Up to 900% × (1 – Net Revenue Churn); steps down to 750% after Jul-2026 and 600% after Jul-2027.</t>
  </si>
  <si>
    <t>Term Loan Interest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</si>
</sst>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0.00&quot;x&quot;"/>
  </numFmts>
  <fonts count="4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4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EBF1DE"/>
        <bgColor rgb="FFEBF1DE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164" fontId="1" fillId="0" borderId="1"/>
    <xf numFmtId="10" fontId="1" fillId="0" borderId="1"/>
    <xf numFmtId="17" fontId="1" fillId="0" borderId="1"/>
    <xf numFmtId="165" fontId="1" fillId="0" borderId="1"/>
  </cellStyleXfs>
  <cellXfs count="1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17" fontId="1" fillId="0" borderId="1" xfId="3"/>
    <xf numFmtId="164" fontId="1" fillId="0" borderId="1" xfId="1"/>
    <xf numFmtId="10" fontId="1" fillId="0" borderId="1" xfId="2"/>
    <xf numFmtId="1" fontId="0" fillId="0" borderId="0" xfId="0" applyNumberFormat="1"/>
    <xf numFmtId="0" fontId="3" fillId="3" borderId="0" xfId="0" applyFont="1" applyFill="1" applyAlignment="1">
      <alignment horizontal="center" vertical="center" wrapText="1"/>
    </xf>
    <xf numFmtId="165" fontId="1" fillId="0" borderId="1" xfId="4"/>
    <xf numFmtId="164" fontId="1" fillId="0" borderId="1" xfId="1" applyAlignment="1">
      <alignment vertical="center"/>
    </xf>
    <xf numFmtId="0" fontId="0" fillId="0" borderId="0" xfId="0" applyAlignment="1">
      <alignment vertical="center"/>
    </xf>
    <xf numFmtId="17" fontId="1" fillId="0" borderId="1" xfId="3" applyAlignment="1">
      <alignment vertical="center"/>
    </xf>
    <xf numFmtId="10" fontId="1" fillId="0" borderId="1" xfId="2" applyAlignment="1">
      <alignment vertical="center"/>
    </xf>
    <xf numFmtId="1" fontId="0" fillId="0" borderId="0" xfId="0" applyNumberFormat="1" applyAlignment="1">
      <alignment vertical="center"/>
    </xf>
  </cellXfs>
  <cellStyles count="5">
    <cellStyle name="model_currency" xfId="1" xr:uid="{00000000-0005-0000-0000-000001000000}"/>
    <cellStyle name="model_date" xfId="3" xr:uid="{00000000-0005-0000-0000-000003000000}"/>
    <cellStyle name="model_multiple" xfId="4" xr:uid="{00000000-0005-0000-0000-000004000000}"/>
    <cellStyle name="model_percent" xfId="2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pane ySplit="2" topLeftCell="A3" activePane="bottomLeft" state="frozen"/>
      <selection pane="bottomLeft" activeCell="D7" sqref="D7:I16"/>
    </sheetView>
  </sheetViews>
  <sheetFormatPr defaultRowHeight="14.25" x14ac:dyDescent="0.45"/>
  <cols>
    <col min="1" max="1" width="40" customWidth="1"/>
    <col min="2" max="2" width="24" customWidth="1"/>
    <col min="3" max="3" width="64" customWidth="1"/>
  </cols>
  <sheetData>
    <row r="1" spans="1:3" ht="18" x14ac:dyDescent="0.55000000000000004">
      <c r="A1" s="1" t="s">
        <v>0</v>
      </c>
    </row>
    <row r="2" spans="1:3" x14ac:dyDescent="0.45">
      <c r="A2" s="2" t="s">
        <v>1</v>
      </c>
      <c r="B2" s="2" t="s">
        <v>2</v>
      </c>
      <c r="C2" s="2" t="s">
        <v>3</v>
      </c>
    </row>
    <row r="3" spans="1:3" x14ac:dyDescent="0.45">
      <c r="A3" t="s">
        <v>4</v>
      </c>
      <c r="B3" s="3">
        <f>DATE(2024,9,1)</f>
        <v>45536</v>
      </c>
      <c r="C3" t="s">
        <v>5</v>
      </c>
    </row>
    <row r="4" spans="1:3" x14ac:dyDescent="0.45">
      <c r="A4" t="s">
        <v>6</v>
      </c>
      <c r="B4" s="4">
        <v>10000000</v>
      </c>
      <c r="C4" t="s">
        <v>7</v>
      </c>
    </row>
    <row r="5" spans="1:3" x14ac:dyDescent="0.45">
      <c r="A5" t="s">
        <v>8</v>
      </c>
      <c r="B5" s="4">
        <v>5000000</v>
      </c>
      <c r="C5" t="s">
        <v>9</v>
      </c>
    </row>
    <row r="6" spans="1:3" x14ac:dyDescent="0.45">
      <c r="A6" t="s">
        <v>10</v>
      </c>
      <c r="B6" s="3"/>
      <c r="C6" t="s">
        <v>11</v>
      </c>
    </row>
    <row r="7" spans="1:3" x14ac:dyDescent="0.45">
      <c r="A7" t="s">
        <v>12</v>
      </c>
      <c r="B7" s="3">
        <f>DATE(2028,8,31)</f>
        <v>46996</v>
      </c>
      <c r="C7" t="s">
        <v>13</v>
      </c>
    </row>
    <row r="8" spans="1:3" x14ac:dyDescent="0.45">
      <c r="A8" t="s">
        <v>14</v>
      </c>
      <c r="B8" s="4">
        <v>5000000</v>
      </c>
      <c r="C8" t="s">
        <v>15</v>
      </c>
    </row>
    <row r="9" spans="1:3" x14ac:dyDescent="0.45">
      <c r="A9" t="s">
        <v>16</v>
      </c>
      <c r="B9" s="3">
        <f>DATE(2027,8,31)</f>
        <v>46630</v>
      </c>
      <c r="C9" t="s">
        <v>17</v>
      </c>
    </row>
    <row r="10" spans="1:3" x14ac:dyDescent="0.45">
      <c r="A10" t="s">
        <v>18</v>
      </c>
      <c r="B10" s="3">
        <f>DATE(2027,8,31)</f>
        <v>46630</v>
      </c>
      <c r="C10" t="s">
        <v>19</v>
      </c>
    </row>
    <row r="11" spans="1:3" x14ac:dyDescent="0.45">
      <c r="A11" t="s">
        <v>20</v>
      </c>
      <c r="B11" s="3">
        <f>DATE(2029,8,1)</f>
        <v>47331</v>
      </c>
      <c r="C11" t="s">
        <v>21</v>
      </c>
    </row>
    <row r="12" spans="1:3" x14ac:dyDescent="0.45">
      <c r="A12" t="s">
        <v>22</v>
      </c>
      <c r="B12" s="5">
        <v>5.0000000000000001E-3</v>
      </c>
      <c r="C12" t="s">
        <v>23</v>
      </c>
    </row>
    <row r="13" spans="1:3" x14ac:dyDescent="0.45">
      <c r="A13" t="s">
        <v>24</v>
      </c>
      <c r="B13" s="5">
        <v>7.4999999999999997E-3</v>
      </c>
      <c r="C13" t="s">
        <v>23</v>
      </c>
    </row>
    <row r="14" spans="1:3" x14ac:dyDescent="0.45">
      <c r="A14" t="s">
        <v>25</v>
      </c>
      <c r="B14" s="5">
        <v>5.5E-2</v>
      </c>
      <c r="C14" t="s">
        <v>26</v>
      </c>
    </row>
    <row r="15" spans="1:3" x14ac:dyDescent="0.45">
      <c r="A15" t="s">
        <v>27</v>
      </c>
      <c r="B15" s="4">
        <v>2.5000000000000001E-3</v>
      </c>
      <c r="C15" t="s">
        <v>28</v>
      </c>
    </row>
    <row r="16" spans="1:3" x14ac:dyDescent="0.45">
      <c r="A16" t="s">
        <v>29</v>
      </c>
      <c r="B16" s="4">
        <v>1E-3</v>
      </c>
      <c r="C16" t="s">
        <v>30</v>
      </c>
    </row>
    <row r="17" spans="1:3" x14ac:dyDescent="0.45">
      <c r="A17" t="s">
        <v>31</v>
      </c>
      <c r="B17" s="4">
        <v>0.01</v>
      </c>
      <c r="C17" t="s">
        <v>32</v>
      </c>
    </row>
    <row r="18" spans="1:3" x14ac:dyDescent="0.45">
      <c r="A18" t="s">
        <v>33</v>
      </c>
      <c r="B18" s="3"/>
      <c r="C18" t="s">
        <v>34</v>
      </c>
    </row>
    <row r="19" spans="1:3" x14ac:dyDescent="0.45">
      <c r="A19" t="s">
        <v>35</v>
      </c>
      <c r="B19">
        <v>0.02</v>
      </c>
      <c r="C19" t="s">
        <v>36</v>
      </c>
    </row>
    <row r="20" spans="1:3" x14ac:dyDescent="0.45">
      <c r="A20" t="s">
        <v>37</v>
      </c>
      <c r="B20" s="5">
        <v>7.4999999999999997E-2</v>
      </c>
      <c r="C20" t="s">
        <v>38</v>
      </c>
    </row>
    <row r="21" spans="1:3" x14ac:dyDescent="0.45">
      <c r="A21" t="s">
        <v>39</v>
      </c>
      <c r="B21" s="5">
        <v>0.05</v>
      </c>
      <c r="C21" t="s">
        <v>40</v>
      </c>
    </row>
    <row r="22" spans="1:3" x14ac:dyDescent="0.45">
      <c r="A22" t="s">
        <v>41</v>
      </c>
      <c r="B22" s="4">
        <v>0</v>
      </c>
      <c r="C22" t="s">
        <v>42</v>
      </c>
    </row>
    <row r="23" spans="1:3" x14ac:dyDescent="0.45">
      <c r="A23" t="s">
        <v>43</v>
      </c>
      <c r="B23" s="3">
        <f>IF(B3="","",EDATE(B3,12))</f>
        <v>45901</v>
      </c>
      <c r="C23" t="s">
        <v>44</v>
      </c>
    </row>
    <row r="24" spans="1:3" x14ac:dyDescent="0.45">
      <c r="A24" t="s">
        <v>45</v>
      </c>
      <c r="B24" s="3">
        <f>IF(B3="","",EDATE(B3,12))</f>
        <v>45901</v>
      </c>
      <c r="C24" t="s">
        <v>46</v>
      </c>
    </row>
    <row r="25" spans="1:3" x14ac:dyDescent="0.45">
      <c r="A25" t="s">
        <v>47</v>
      </c>
      <c r="B25" s="4">
        <v>0</v>
      </c>
      <c r="C25" t="s">
        <v>48</v>
      </c>
    </row>
    <row r="26" spans="1:3" x14ac:dyDescent="0.45">
      <c r="A26" t="s">
        <v>49</v>
      </c>
      <c r="B26" s="4">
        <v>0</v>
      </c>
      <c r="C26" t="s">
        <v>50</v>
      </c>
    </row>
    <row r="27" spans="1:3" x14ac:dyDescent="0.45">
      <c r="A27" t="s">
        <v>51</v>
      </c>
      <c r="B27" s="3">
        <f>IF(B8="","",IF(B10="","",EOMONTH(B10,1)))</f>
        <v>46660</v>
      </c>
      <c r="C27" t="s">
        <v>52</v>
      </c>
    </row>
    <row r="28" spans="1:3" x14ac:dyDescent="0.45">
      <c r="A28" t="s">
        <v>53</v>
      </c>
      <c r="B28" s="6">
        <v>24</v>
      </c>
      <c r="C28" t="s">
        <v>54</v>
      </c>
    </row>
    <row r="29" spans="1:3" x14ac:dyDescent="0.45">
      <c r="A29" t="s">
        <v>55</v>
      </c>
      <c r="B29" s="3">
        <f>IF(OR(B27="",B28=""),"",EOMONTH(B27,B28-1))</f>
        <v>47361</v>
      </c>
      <c r="C29" t="s">
        <v>56</v>
      </c>
    </row>
    <row r="30" spans="1:3" x14ac:dyDescent="0.45">
      <c r="A30" t="s">
        <v>57</v>
      </c>
      <c r="B30" s="3"/>
      <c r="C30" t="s">
        <v>58</v>
      </c>
    </row>
    <row r="31" spans="1:3" x14ac:dyDescent="0.45">
      <c r="A31" t="s">
        <v>59</v>
      </c>
      <c r="B31" s="3">
        <f>IF(B30&lt;&gt;"",B30,MAX(IF(B7="",DATE(1900,1,1),B7),IF(B29="",DATE(1900,1,1),B29),IF(B11="",DATE(1900,1,1),B11)))</f>
        <v>47361</v>
      </c>
      <c r="C31" t="s">
        <v>60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21"/>
  <sheetViews>
    <sheetView tabSelected="1" workbookViewId="0">
      <pane ySplit="1" topLeftCell="A2" activePane="bottomLeft" state="frozen"/>
      <selection pane="bottomLeft" activeCell="J2" sqref="J2:J7"/>
    </sheetView>
  </sheetViews>
  <sheetFormatPr defaultRowHeight="14.25" x14ac:dyDescent="0.45"/>
  <cols>
    <col min="1" max="2" width="14" customWidth="1"/>
    <col min="3" max="4" width="18" customWidth="1"/>
    <col min="5" max="5" width="20" customWidth="1"/>
    <col min="6" max="6" width="22" customWidth="1"/>
    <col min="7" max="7" width="20" customWidth="1"/>
    <col min="8" max="8" width="22" customWidth="1"/>
    <col min="9" max="9" width="20" customWidth="1"/>
    <col min="10" max="11" width="22" customWidth="1"/>
    <col min="12" max="12" width="18" customWidth="1"/>
    <col min="13" max="16" width="20" customWidth="1"/>
    <col min="17" max="18" width="22" customWidth="1"/>
    <col min="19" max="19" width="20" customWidth="1"/>
    <col min="20" max="20" width="22" customWidth="1"/>
    <col min="21" max="21" width="24" customWidth="1"/>
    <col min="22" max="22" width="22" customWidth="1"/>
    <col min="23" max="23" width="18" customWidth="1"/>
    <col min="24" max="24" width="20" customWidth="1"/>
    <col min="25" max="25" width="22" customWidth="1"/>
    <col min="26" max="28" width="18" customWidth="1"/>
    <col min="29" max="29" width="20" customWidth="1"/>
  </cols>
  <sheetData>
    <row r="1" spans="1:29" ht="28.5" x14ac:dyDescent="0.45">
      <c r="A1" s="7" t="s">
        <v>61</v>
      </c>
      <c r="B1" s="7" t="s">
        <v>62</v>
      </c>
      <c r="C1" s="7" t="s">
        <v>63</v>
      </c>
      <c r="D1" s="7" t="s">
        <v>64</v>
      </c>
      <c r="E1" s="7" t="s">
        <v>65</v>
      </c>
      <c r="F1" s="7" t="s">
        <v>66</v>
      </c>
      <c r="G1" s="7" t="s">
        <v>67</v>
      </c>
      <c r="H1" s="7" t="s">
        <v>68</v>
      </c>
      <c r="I1" s="7" t="s">
        <v>69</v>
      </c>
      <c r="J1" s="7" t="s">
        <v>70</v>
      </c>
      <c r="K1" s="7" t="s">
        <v>71</v>
      </c>
      <c r="L1" s="7" t="s">
        <v>72</v>
      </c>
      <c r="M1" s="7" t="s">
        <v>73</v>
      </c>
      <c r="N1" s="7" t="s">
        <v>74</v>
      </c>
      <c r="O1" s="7" t="s">
        <v>75</v>
      </c>
      <c r="P1" s="7" t="s">
        <v>76</v>
      </c>
      <c r="Q1" s="7" t="s">
        <v>77</v>
      </c>
      <c r="R1" s="7" t="s">
        <v>78</v>
      </c>
      <c r="S1" s="7" t="s">
        <v>79</v>
      </c>
      <c r="T1" s="7" t="s">
        <v>80</v>
      </c>
      <c r="U1" s="7" t="s">
        <v>81</v>
      </c>
      <c r="V1" s="7" t="s">
        <v>82</v>
      </c>
      <c r="W1" s="7" t="s">
        <v>83</v>
      </c>
      <c r="X1" s="7" t="s">
        <v>84</v>
      </c>
      <c r="Y1" s="7" t="s">
        <v>85</v>
      </c>
      <c r="Z1" s="7" t="s">
        <v>86</v>
      </c>
      <c r="AA1" s="7" t="s">
        <v>87</v>
      </c>
      <c r="AB1" s="7" t="s">
        <v>88</v>
      </c>
      <c r="AC1" s="7" t="s">
        <v>89</v>
      </c>
    </row>
    <row r="2" spans="1:29" x14ac:dyDescent="0.45">
      <c r="A2" s="3">
        <f>IF(Inputs!$B$3="","",IF(AND(Inputs!$B$31&lt;&gt;"",EOMONTH(Inputs!$B$3,0)&gt;Inputs!$B$31),"",EOMONTH(Inputs!$B$3,0)))</f>
        <v>45565</v>
      </c>
      <c r="B2" s="5"/>
      <c r="C2" s="4">
        <v>1000000</v>
      </c>
      <c r="D2" s="5"/>
      <c r="E2" s="8">
        <f>IF($A2="","",MAX(0,(1-(IF($D2="",Inputs!$B$21,$D2)))*IF($A2&lt;=DATE(2026,7,31),9,IF($A2&lt;=DATE(2027,7,31),7.5,6))))</f>
        <v>8.5499999999999989</v>
      </c>
      <c r="F2" s="4">
        <f>IF($A2="","",(IF($C2="",Inputs!$B$22,$C2))*$E2)</f>
        <v>8549999.9999999981</v>
      </c>
      <c r="G2" s="4">
        <f>IF($A2="","",Inputs!$B$4+IF(AND(Inputs!$B$6&lt;&gt;"",$A2&gt;=EOMONTH(Inputs!$B$6,0)),Inputs!$B$5,0))</f>
        <v>10000000</v>
      </c>
      <c r="H2" s="4">
        <f>IF($A2="","",Inputs!$B$25)</f>
        <v>0</v>
      </c>
      <c r="I2" s="4">
        <v>1000000</v>
      </c>
      <c r="J2" s="4"/>
      <c r="K2" s="4">
        <f>IF($A2="","",MAX(0,MIN($H2+IF($I2="",0,$I2)-IF($J2="",0,$J2),MIN($G2,$F2))))</f>
        <v>1000000</v>
      </c>
      <c r="L2" s="5">
        <f>IF($A2="","",MAX(Inputs!$B$14,(IF($B2="",Inputs!$B$20,$B2)+Inputs!$B$12)))</f>
        <v>0.08</v>
      </c>
      <c r="M2" s="4">
        <f t="shared" ref="M2:M33" si="0">IF($A2="","",(($H2+$K2)/2)*$L2/12)</f>
        <v>3333.3333333333335</v>
      </c>
      <c r="N2" s="4">
        <f t="shared" ref="N2:N33" si="1">IF($A2="","",MAX(0,$G2-$K2))</f>
        <v>9000000</v>
      </c>
      <c r="O2" s="4">
        <f>IF($A2="","",$N2*Inputs!$B$15/12)</f>
        <v>1875</v>
      </c>
      <c r="P2" s="4">
        <f>IF($A2="","",SUM(IF($A2=EOMONTH(Inputs!$B$3,0),Inputs!$B$4*Inputs!$B$16,0),IF(Inputs!$B$3="",0,IF($A2=EOMONTH(Inputs!$B$3,12),Inputs!$B$4*Inputs!$B$16,0)),IF(Inputs!$B$3="",0,IF($A2=EOMONTH(Inputs!$B$3,24),Inputs!$B$4*Inputs!$B$16,0))))</f>
        <v>10000</v>
      </c>
      <c r="Q2" s="4">
        <f>IF($A2="","",IF(AND(Inputs!$B$18&lt;&gt;"",$A2=EOMONTH(Inputs!$B$18,0),Inputs!$B$18&lt;=Inputs!$B$23),Inputs!$B$4*Inputs!$B$17,0))</f>
        <v>0</v>
      </c>
      <c r="R2" s="4">
        <f>IF($A2="","",Inputs!$B$26)</f>
        <v>0</v>
      </c>
      <c r="S2" s="4"/>
      <c r="T2" s="4">
        <f>IF($A2="","",IF(OR(Inputs!$B$27="",Inputs!$B$28=""),0,IF($A2&lt;Inputs!$B$27,0,IF($A2&gt;Inputs!$B$29,0,$R2/MAX(1,Inputs!$B$28-DATEDIF(Inputs!$B$27,$A2,"m"))))))</f>
        <v>0</v>
      </c>
      <c r="U2" s="4"/>
      <c r="V2" s="4">
        <f t="shared" ref="V2:V33" si="2">IF($A2="","",MAX(0,$R2+IF($S2="",0,$S2)-$T2-IF($U2="",0,$U2)))</f>
        <v>0</v>
      </c>
      <c r="W2" s="5">
        <f>IF($A2="","",MAX(Inputs!$B$14,(IF($B2="",Inputs!$B$20,$B2)+Inputs!$B$13)))</f>
        <v>8.249999999999999E-2</v>
      </c>
      <c r="X2" s="4">
        <f t="shared" ref="X2:X33" si="3">IF($A2="","",(($R2+$V2)/2)*$W2/12)</f>
        <v>0</v>
      </c>
      <c r="Y2" s="4">
        <f>IF($A2="","",IF(AND(IF($U2="",0,$U2)&gt;0,Inputs!$B$24&lt;&gt;"",$A2&lt;=EOMONTH(Inputs!$B$24,0)),IF($U2="",0,$U2)*Inputs!$B$19,0))</f>
        <v>0</v>
      </c>
      <c r="Z2" s="4">
        <f t="shared" ref="Z2:Z33" si="4">IF($A2="","",IF($I2="",0,$I2)+IF($S2="",0,$S2))</f>
        <v>1000000</v>
      </c>
      <c r="AA2" s="4">
        <f t="shared" ref="AA2:AA33" si="5">IF($A2="","",IF($J2="",0,$J2)+$M2+$O2+$P2+$Q2+$T2+IF($U2="",0,$U2)+$X2+$Y2)</f>
        <v>15208.333333333334</v>
      </c>
      <c r="AB2" s="4">
        <f t="shared" ref="AB2:AB33" si="6">IF($A2="","",$Z2-$AA2)</f>
        <v>984791.66666666663</v>
      </c>
      <c r="AC2" s="4">
        <f>IF($A2="","",SUM($AB$2:$AB2))</f>
        <v>984791.66666666663</v>
      </c>
    </row>
    <row r="3" spans="1:29" x14ac:dyDescent="0.45">
      <c r="A3" s="3">
        <f>IF(OR($A2="",AND(Inputs!$B$31&lt;&gt;"",EOMONTH($A2,1)&gt;Inputs!$B$31)),"",EOMONTH($A2,1))</f>
        <v>45596</v>
      </c>
      <c r="B3" s="5"/>
      <c r="C3" s="4">
        <f>+C2*1.05</f>
        <v>1050000</v>
      </c>
      <c r="D3" s="5"/>
      <c r="E3" s="8">
        <f>IF($A3="","",MAX(0,(1-(IF($D3="",Inputs!$B$21,$D3)))*IF($A3&lt;=DATE(2026,7,31),9,IF($A3&lt;=DATE(2027,7,31),7.5,6))))</f>
        <v>8.5499999999999989</v>
      </c>
      <c r="F3" s="4">
        <f>IF($A3="","",(IF($C3="",Inputs!$B$22,$C3))*$E3)</f>
        <v>8977499.9999999981</v>
      </c>
      <c r="G3" s="4">
        <f>IF($A3="","",Inputs!$B$4+IF(AND(Inputs!$B$6&lt;&gt;"",$A3&gt;=EOMONTH(Inputs!$B$6,0)),Inputs!$B$5,0))</f>
        <v>10000000</v>
      </c>
      <c r="H3" s="4">
        <f t="shared" ref="H3:H34" si="7">IF($A3="","",IF($A2="",0,$K2))</f>
        <v>1000000</v>
      </c>
      <c r="I3" s="4">
        <v>1000000</v>
      </c>
      <c r="J3" s="4"/>
      <c r="K3" s="4">
        <f>IF($A3="","",MAX(0,MIN($H3+IF($I3="",0,$I3)-IF($J3="",0,$J3),MIN($G3,$F3))))</f>
        <v>2000000</v>
      </c>
      <c r="L3" s="5">
        <f>IF($A3="","",MAX(Inputs!$B$14,(IF($B3="",Inputs!$B$20,$B3)+Inputs!$B$12)))</f>
        <v>0.08</v>
      </c>
      <c r="M3" s="4">
        <f t="shared" si="0"/>
        <v>10000</v>
      </c>
      <c r="N3" s="4">
        <f t="shared" si="1"/>
        <v>8000000</v>
      </c>
      <c r="O3" s="4">
        <f>IF($A3="","",$N3*Inputs!$B$15/12)</f>
        <v>1666.6666666666667</v>
      </c>
      <c r="P3" s="4">
        <f>IF($A3="","",SUM(IF($A3=EOMONTH(Inputs!$B$3,0),Inputs!$B$4*Inputs!$B$16,0),IF(Inputs!$B$3="",0,IF($A3=EOMONTH(Inputs!$B$3,12),Inputs!$B$4*Inputs!$B$16,0)),IF(Inputs!$B$3="",0,IF($A3=EOMONTH(Inputs!$B$3,24),Inputs!$B$4*Inputs!$B$16,0))))</f>
        <v>0</v>
      </c>
      <c r="Q3" s="4">
        <f>IF($A3="","",IF(AND(Inputs!$B$18&lt;&gt;"",$A3=EOMONTH(Inputs!$B$18,0),Inputs!$B$18&lt;=Inputs!$B$23),Inputs!$B$4*Inputs!$B$17,0))</f>
        <v>0</v>
      </c>
      <c r="R3" s="4">
        <f t="shared" ref="R3:R34" si="8">IF($A3="","",IF($A2="",0,$V2))</f>
        <v>0</v>
      </c>
      <c r="S3" s="4"/>
      <c r="T3" s="4">
        <f>IF($A3="","",IF(OR(Inputs!$B$27="",Inputs!$B$28=""),0,IF($A3&lt;Inputs!$B$27,0,IF($A3&gt;Inputs!$B$29,0,$R3/MAX(1,Inputs!$B$28-DATEDIF(Inputs!$B$27,$A3,"m"))))))</f>
        <v>0</v>
      </c>
      <c r="U3" s="4"/>
      <c r="V3" s="4">
        <f t="shared" si="2"/>
        <v>0</v>
      </c>
      <c r="W3" s="5">
        <f>IF($A3="","",MAX(Inputs!$B$14,(IF($B3="",Inputs!$B$20,$B3)+Inputs!$B$13)))</f>
        <v>8.249999999999999E-2</v>
      </c>
      <c r="X3" s="4">
        <f t="shared" si="3"/>
        <v>0</v>
      </c>
      <c r="Y3" s="4">
        <f>IF($A3="","",IF(AND(IF($U3="",0,$U3)&gt;0,Inputs!$B$24&lt;&gt;"",$A3&lt;=EOMONTH(Inputs!$B$24,0)),IF($U3="",0,$U3)*Inputs!$B$19,0))</f>
        <v>0</v>
      </c>
      <c r="Z3" s="4">
        <f t="shared" si="4"/>
        <v>1000000</v>
      </c>
      <c r="AA3" s="4">
        <f t="shared" si="5"/>
        <v>11666.666666666666</v>
      </c>
      <c r="AB3" s="4">
        <f t="shared" si="6"/>
        <v>988333.33333333337</v>
      </c>
      <c r="AC3" s="4">
        <f>IF($A3="","",SUM($AB$2:$AB3))</f>
        <v>1973125</v>
      </c>
    </row>
    <row r="4" spans="1:29" x14ac:dyDescent="0.45">
      <c r="A4" s="3">
        <f>IF(OR($A3="",AND(Inputs!$B$31&lt;&gt;"",EOMONTH($A3,1)&gt;Inputs!$B$31)),"",EOMONTH($A3,1))</f>
        <v>45626</v>
      </c>
      <c r="B4" s="5"/>
      <c r="C4" s="4">
        <f t="shared" ref="C4:C24" si="9">+C3*1.05</f>
        <v>1102500</v>
      </c>
      <c r="D4" s="5"/>
      <c r="E4" s="8">
        <f>IF($A4="","",MAX(0,(1-(IF($D4="",Inputs!$B$21,$D4)))*IF($A4&lt;=DATE(2026,7,31),9,IF($A4&lt;=DATE(2027,7,31),7.5,6))))</f>
        <v>8.5499999999999989</v>
      </c>
      <c r="F4" s="4">
        <f>IF($A4="","",(IF($C4="",Inputs!$B$22,$C4))*$E4)</f>
        <v>9426374.9999999981</v>
      </c>
      <c r="G4" s="4">
        <f>IF($A4="","",Inputs!$B$4+IF(AND(Inputs!$B$6&lt;&gt;"",$A4&gt;=EOMONTH(Inputs!$B$6,0)),Inputs!$B$5,0))</f>
        <v>10000000</v>
      </c>
      <c r="H4" s="4">
        <f t="shared" si="7"/>
        <v>2000000</v>
      </c>
      <c r="I4" s="4">
        <v>1000000</v>
      </c>
      <c r="J4" s="4"/>
      <c r="K4" s="4">
        <f>IF($A4="","",MAX(0,MIN($H4+IF($I4="",0,$I4)-IF($J4="",0,$J4),MIN($G4,$F4))))</f>
        <v>3000000</v>
      </c>
      <c r="L4" s="5">
        <f>IF($A4="","",MAX(Inputs!$B$14,(IF($B4="",Inputs!$B$20,$B4)+Inputs!$B$12)))</f>
        <v>0.08</v>
      </c>
      <c r="M4" s="4">
        <f t="shared" si="0"/>
        <v>16666.666666666668</v>
      </c>
      <c r="N4" s="4">
        <f t="shared" si="1"/>
        <v>7000000</v>
      </c>
      <c r="O4" s="4">
        <f>IF($A4="","",$N4*Inputs!$B$15/12)</f>
        <v>1458.3333333333333</v>
      </c>
      <c r="P4" s="4">
        <f>IF($A4="","",SUM(IF($A4=EOMONTH(Inputs!$B$3,0),Inputs!$B$4*Inputs!$B$16,0),IF(Inputs!$B$3="",0,IF($A4=EOMONTH(Inputs!$B$3,12),Inputs!$B$4*Inputs!$B$16,0)),IF(Inputs!$B$3="",0,IF($A4=EOMONTH(Inputs!$B$3,24),Inputs!$B$4*Inputs!$B$16,0))))</f>
        <v>0</v>
      </c>
      <c r="Q4" s="4">
        <f>IF($A4="","",IF(AND(Inputs!$B$18&lt;&gt;"",$A4=EOMONTH(Inputs!$B$18,0),Inputs!$B$18&lt;=Inputs!$B$23),Inputs!$B$4*Inputs!$B$17,0))</f>
        <v>0</v>
      </c>
      <c r="R4" s="4">
        <f t="shared" si="8"/>
        <v>0</v>
      </c>
      <c r="S4" s="4"/>
      <c r="T4" s="4">
        <f>IF($A4="","",IF(OR(Inputs!$B$27="",Inputs!$B$28=""),0,IF($A4&lt;Inputs!$B$27,0,IF($A4&gt;Inputs!$B$29,0,$R4/MAX(1,Inputs!$B$28-DATEDIF(Inputs!$B$27,$A4,"m"))))))</f>
        <v>0</v>
      </c>
      <c r="U4" s="4"/>
      <c r="V4" s="4">
        <f t="shared" si="2"/>
        <v>0</v>
      </c>
      <c r="W4" s="5">
        <f>IF($A4="","",MAX(Inputs!$B$14,(IF($B4="",Inputs!$B$20,$B4)+Inputs!$B$13)))</f>
        <v>8.249999999999999E-2</v>
      </c>
      <c r="X4" s="4">
        <f t="shared" si="3"/>
        <v>0</v>
      </c>
      <c r="Y4" s="4">
        <f>IF($A4="","",IF(AND(IF($U4="",0,$U4)&gt;0,Inputs!$B$24&lt;&gt;"",$A4&lt;=EOMONTH(Inputs!$B$24,0)),IF($U4="",0,$U4)*Inputs!$B$19,0))</f>
        <v>0</v>
      </c>
      <c r="Z4" s="4">
        <f t="shared" si="4"/>
        <v>1000000</v>
      </c>
      <c r="AA4" s="4">
        <f t="shared" si="5"/>
        <v>18125</v>
      </c>
      <c r="AB4" s="4">
        <f t="shared" si="6"/>
        <v>981875</v>
      </c>
      <c r="AC4" s="4">
        <f>IF($A4="","",SUM($AB$2:$AB4))</f>
        <v>2955000</v>
      </c>
    </row>
    <row r="5" spans="1:29" x14ac:dyDescent="0.45">
      <c r="A5" s="3">
        <f>IF(OR($A4="",AND(Inputs!$B$31&lt;&gt;"",EOMONTH($A4,1)&gt;Inputs!$B$31)),"",EOMONTH($A4,1))</f>
        <v>45657</v>
      </c>
      <c r="B5" s="5"/>
      <c r="C5" s="4">
        <f t="shared" si="9"/>
        <v>1157625</v>
      </c>
      <c r="D5" s="5"/>
      <c r="E5" s="8">
        <f>IF($A5="","",MAX(0,(1-(IF($D5="",Inputs!$B$21,$D5)))*IF($A5&lt;=DATE(2026,7,31),9,IF($A5&lt;=DATE(2027,7,31),7.5,6))))</f>
        <v>8.5499999999999989</v>
      </c>
      <c r="F5" s="4">
        <f>IF($A5="","",(IF($C5="",Inputs!$B$22,$C5))*$E5)</f>
        <v>9897693.7499999981</v>
      </c>
      <c r="G5" s="4">
        <f>IF($A5="","",Inputs!$B$4+IF(AND(Inputs!$B$6&lt;&gt;"",$A5&gt;=EOMONTH(Inputs!$B$6,0)),Inputs!$B$5,0))</f>
        <v>10000000</v>
      </c>
      <c r="H5" s="4">
        <f t="shared" si="7"/>
        <v>3000000</v>
      </c>
      <c r="I5" s="4">
        <v>1000000</v>
      </c>
      <c r="J5" s="4"/>
      <c r="K5" s="4">
        <f>IF($A5="","",MAX(0,MIN($H5+IF($I5="",0,$I5)-IF($J5="",0,$J5),MIN($G5,$F5))))</f>
        <v>4000000</v>
      </c>
      <c r="L5" s="5">
        <f>IF($A5="","",MAX(Inputs!$B$14,(IF($B5="",Inputs!$B$20,$B5)+Inputs!$B$12)))</f>
        <v>0.08</v>
      </c>
      <c r="M5" s="4">
        <f t="shared" si="0"/>
        <v>23333.333333333332</v>
      </c>
      <c r="N5" s="4">
        <f t="shared" si="1"/>
        <v>6000000</v>
      </c>
      <c r="O5" s="4">
        <f>IF($A5="","",$N5*Inputs!$B$15/12)</f>
        <v>1250</v>
      </c>
      <c r="P5" s="4">
        <f>IF($A5="","",SUM(IF($A5=EOMONTH(Inputs!$B$3,0),Inputs!$B$4*Inputs!$B$16,0),IF(Inputs!$B$3="",0,IF($A5=EOMONTH(Inputs!$B$3,12),Inputs!$B$4*Inputs!$B$16,0)),IF(Inputs!$B$3="",0,IF($A5=EOMONTH(Inputs!$B$3,24),Inputs!$B$4*Inputs!$B$16,0))))</f>
        <v>0</v>
      </c>
      <c r="Q5" s="4">
        <f>IF($A5="","",IF(AND(Inputs!$B$18&lt;&gt;"",$A5=EOMONTH(Inputs!$B$18,0),Inputs!$B$18&lt;=Inputs!$B$23),Inputs!$B$4*Inputs!$B$17,0))</f>
        <v>0</v>
      </c>
      <c r="R5" s="4">
        <f t="shared" si="8"/>
        <v>0</v>
      </c>
      <c r="S5" s="4"/>
      <c r="T5" s="4">
        <f>IF($A5="","",IF(OR(Inputs!$B$27="",Inputs!$B$28=""),0,IF($A5&lt;Inputs!$B$27,0,IF($A5&gt;Inputs!$B$29,0,$R5/MAX(1,Inputs!$B$28-DATEDIF(Inputs!$B$27,$A5,"m"))))))</f>
        <v>0</v>
      </c>
      <c r="U5" s="4"/>
      <c r="V5" s="4">
        <f t="shared" si="2"/>
        <v>0</v>
      </c>
      <c r="W5" s="5">
        <f>IF($A5="","",MAX(Inputs!$B$14,(IF($B5="",Inputs!$B$20,$B5)+Inputs!$B$13)))</f>
        <v>8.249999999999999E-2</v>
      </c>
      <c r="X5" s="4">
        <f t="shared" si="3"/>
        <v>0</v>
      </c>
      <c r="Y5" s="4">
        <f>IF($A5="","",IF(AND(IF($U5="",0,$U5)&gt;0,Inputs!$B$24&lt;&gt;"",$A5&lt;=EOMONTH(Inputs!$B$24,0)),IF($U5="",0,$U5)*Inputs!$B$19,0))</f>
        <v>0</v>
      </c>
      <c r="Z5" s="4">
        <f t="shared" si="4"/>
        <v>1000000</v>
      </c>
      <c r="AA5" s="4">
        <f t="shared" si="5"/>
        <v>24583.333333333332</v>
      </c>
      <c r="AB5" s="4">
        <f t="shared" si="6"/>
        <v>975416.66666666663</v>
      </c>
      <c r="AC5" s="4">
        <f>IF($A5="","",SUM($AB$2:$AB5))</f>
        <v>3930416.6666666665</v>
      </c>
    </row>
    <row r="6" spans="1:29" x14ac:dyDescent="0.45">
      <c r="A6" s="3">
        <f>IF(OR($A5="",AND(Inputs!$B$31&lt;&gt;"",EOMONTH($A5,1)&gt;Inputs!$B$31)),"",EOMONTH($A5,1))</f>
        <v>45688</v>
      </c>
      <c r="B6" s="5"/>
      <c r="C6" s="4">
        <f t="shared" si="9"/>
        <v>1215506.25</v>
      </c>
      <c r="D6" s="5"/>
      <c r="E6" s="8">
        <f>IF($A6="","",MAX(0,(1-(IF($D6="",Inputs!$B$21,$D6)))*IF($A6&lt;=DATE(2026,7,31),9,IF($A6&lt;=DATE(2027,7,31),7.5,6))))</f>
        <v>8.5499999999999989</v>
      </c>
      <c r="F6" s="4">
        <f>IF($A6="","",(IF($C6="",Inputs!$B$22,$C6))*$E6)</f>
        <v>10392578.437499998</v>
      </c>
      <c r="G6" s="4">
        <f>IF($A6="","",Inputs!$B$4+IF(AND(Inputs!$B$6&lt;&gt;"",$A6&gt;=EOMONTH(Inputs!$B$6,0)),Inputs!$B$5,0))</f>
        <v>10000000</v>
      </c>
      <c r="H6" s="4">
        <f t="shared" si="7"/>
        <v>4000000</v>
      </c>
      <c r="I6" s="4">
        <v>1000000</v>
      </c>
      <c r="J6" s="4"/>
      <c r="K6" s="4">
        <f>IF($A6="","",MAX(0,MIN($H6+IF($I6="",0,$I6)-IF($J6="",0,$J6),MIN($G6,$F6))))</f>
        <v>5000000</v>
      </c>
      <c r="L6" s="5">
        <f>IF($A6="","",MAX(Inputs!$B$14,(IF($B6="",Inputs!$B$20,$B6)+Inputs!$B$12)))</f>
        <v>0.08</v>
      </c>
      <c r="M6" s="4">
        <f t="shared" si="0"/>
        <v>30000</v>
      </c>
      <c r="N6" s="4">
        <f t="shared" si="1"/>
        <v>5000000</v>
      </c>
      <c r="O6" s="4">
        <f>IF($A6="","",$N6*Inputs!$B$15/12)</f>
        <v>1041.6666666666667</v>
      </c>
      <c r="P6" s="4">
        <f>IF($A6="","",SUM(IF($A6=EOMONTH(Inputs!$B$3,0),Inputs!$B$4*Inputs!$B$16,0),IF(Inputs!$B$3="",0,IF($A6=EOMONTH(Inputs!$B$3,12),Inputs!$B$4*Inputs!$B$16,0)),IF(Inputs!$B$3="",0,IF($A6=EOMONTH(Inputs!$B$3,24),Inputs!$B$4*Inputs!$B$16,0))))</f>
        <v>0</v>
      </c>
      <c r="Q6" s="4">
        <f>IF($A6="","",IF(AND(Inputs!$B$18&lt;&gt;"",$A6=EOMONTH(Inputs!$B$18,0),Inputs!$B$18&lt;=Inputs!$B$23),Inputs!$B$4*Inputs!$B$17,0))</f>
        <v>0</v>
      </c>
      <c r="R6" s="4">
        <f t="shared" si="8"/>
        <v>0</v>
      </c>
      <c r="S6" s="4"/>
      <c r="T6" s="4">
        <f>IF($A6="","",IF(OR(Inputs!$B$27="",Inputs!$B$28=""),0,IF($A6&lt;Inputs!$B$27,0,IF($A6&gt;Inputs!$B$29,0,$R6/MAX(1,Inputs!$B$28-DATEDIF(Inputs!$B$27,$A6,"m"))))))</f>
        <v>0</v>
      </c>
      <c r="U6" s="4"/>
      <c r="V6" s="4">
        <f t="shared" si="2"/>
        <v>0</v>
      </c>
      <c r="W6" s="5">
        <f>IF($A6="","",MAX(Inputs!$B$14,(IF($B6="",Inputs!$B$20,$B6)+Inputs!$B$13)))</f>
        <v>8.249999999999999E-2</v>
      </c>
      <c r="X6" s="4">
        <f t="shared" si="3"/>
        <v>0</v>
      </c>
      <c r="Y6" s="4">
        <f>IF($A6="","",IF(AND(IF($U6="",0,$U6)&gt;0,Inputs!$B$24&lt;&gt;"",$A6&lt;=EOMONTH(Inputs!$B$24,0)),IF($U6="",0,$U6)*Inputs!$B$19,0))</f>
        <v>0</v>
      </c>
      <c r="Z6" s="4">
        <f t="shared" si="4"/>
        <v>1000000</v>
      </c>
      <c r="AA6" s="4">
        <f t="shared" si="5"/>
        <v>31041.666666666668</v>
      </c>
      <c r="AB6" s="4">
        <f t="shared" si="6"/>
        <v>968958.33333333337</v>
      </c>
      <c r="AC6" s="4">
        <f>IF($A6="","",SUM($AB$2:$AB6))</f>
        <v>4899375</v>
      </c>
    </row>
    <row r="7" spans="1:29" x14ac:dyDescent="0.45">
      <c r="A7" s="3">
        <f>IF(OR($A6="",AND(Inputs!$B$31&lt;&gt;"",EOMONTH($A6,1)&gt;Inputs!$B$31)),"",EOMONTH($A6,1))</f>
        <v>45716</v>
      </c>
      <c r="B7" s="5"/>
      <c r="C7" s="4">
        <f t="shared" si="9"/>
        <v>1276281.5625</v>
      </c>
      <c r="D7" s="5"/>
      <c r="E7" s="8">
        <f>IF($A7="","",MAX(0,(1-(IF($D7="",Inputs!$B$21,$D7)))*IF($A7&lt;=DATE(2026,7,31),9,IF($A7&lt;=DATE(2027,7,31),7.5,6))))</f>
        <v>8.5499999999999989</v>
      </c>
      <c r="F7" s="4">
        <f>IF($A7="","",(IF($C7="",Inputs!$B$22,$C7))*$E7)</f>
        <v>10912207.359374998</v>
      </c>
      <c r="G7" s="4">
        <f>IF($A7="","",Inputs!$B$4+IF(AND(Inputs!$B$6&lt;&gt;"",$A7&gt;=EOMONTH(Inputs!$B$6,0)),Inputs!$B$5,0))</f>
        <v>10000000</v>
      </c>
      <c r="H7" s="4">
        <f t="shared" si="7"/>
        <v>5000000</v>
      </c>
      <c r="I7" s="4">
        <v>1000000</v>
      </c>
      <c r="J7" s="4"/>
      <c r="K7" s="4">
        <f>IF($A7="","",MAX(0,MIN($H7+IF($I7="",0,$I7)-IF($J7="",0,$J7),MIN($G7,$F7))))</f>
        <v>6000000</v>
      </c>
      <c r="L7" s="5">
        <f>IF($A7="","",MAX(Inputs!$B$14,(IF($B7="",Inputs!$B$20,$B7)+Inputs!$B$12)))</f>
        <v>0.08</v>
      </c>
      <c r="M7" s="4">
        <f t="shared" si="0"/>
        <v>36666.666666666664</v>
      </c>
      <c r="N7" s="4">
        <f t="shared" si="1"/>
        <v>4000000</v>
      </c>
      <c r="O7" s="4">
        <f>IF($A7="","",$N7*Inputs!$B$15/12)</f>
        <v>833.33333333333337</v>
      </c>
      <c r="P7" s="4">
        <f>IF($A7="","",SUM(IF($A7=EOMONTH(Inputs!$B$3,0),Inputs!$B$4*Inputs!$B$16,0),IF(Inputs!$B$3="",0,IF($A7=EOMONTH(Inputs!$B$3,12),Inputs!$B$4*Inputs!$B$16,0)),IF(Inputs!$B$3="",0,IF($A7=EOMONTH(Inputs!$B$3,24),Inputs!$B$4*Inputs!$B$16,0))))</f>
        <v>0</v>
      </c>
      <c r="Q7" s="4">
        <f>IF($A7="","",IF(AND(Inputs!$B$18&lt;&gt;"",$A7=EOMONTH(Inputs!$B$18,0),Inputs!$B$18&lt;=Inputs!$B$23),Inputs!$B$4*Inputs!$B$17,0))</f>
        <v>0</v>
      </c>
      <c r="R7" s="4">
        <f t="shared" si="8"/>
        <v>0</v>
      </c>
      <c r="S7" s="4"/>
      <c r="T7" s="4">
        <f>IF($A7="","",IF(OR(Inputs!$B$27="",Inputs!$B$28=""),0,IF($A7&lt;Inputs!$B$27,0,IF($A7&gt;Inputs!$B$29,0,$R7/MAX(1,Inputs!$B$28-DATEDIF(Inputs!$B$27,$A7,"m"))))))</f>
        <v>0</v>
      </c>
      <c r="U7" s="4"/>
      <c r="V7" s="4">
        <f t="shared" si="2"/>
        <v>0</v>
      </c>
      <c r="W7" s="5">
        <f>IF($A7="","",MAX(Inputs!$B$14,(IF($B7="",Inputs!$B$20,$B7)+Inputs!$B$13)))</f>
        <v>8.249999999999999E-2</v>
      </c>
      <c r="X7" s="4">
        <f t="shared" si="3"/>
        <v>0</v>
      </c>
      <c r="Y7" s="4">
        <f>IF($A7="","",IF(AND(IF($U7="",0,$U7)&gt;0,Inputs!$B$24&lt;&gt;"",$A7&lt;=EOMONTH(Inputs!$B$24,0)),IF($U7="",0,$U7)*Inputs!$B$19,0))</f>
        <v>0</v>
      </c>
      <c r="Z7" s="4">
        <f t="shared" si="4"/>
        <v>1000000</v>
      </c>
      <c r="AA7" s="4">
        <f t="shared" si="5"/>
        <v>37500</v>
      </c>
      <c r="AB7" s="4">
        <f t="shared" si="6"/>
        <v>962500</v>
      </c>
      <c r="AC7" s="4">
        <f>IF($A7="","",SUM($AB$2:$AB7))</f>
        <v>5861875</v>
      </c>
    </row>
    <row r="8" spans="1:29" x14ac:dyDescent="0.45">
      <c r="A8" s="3">
        <f>IF(OR($A7="",AND(Inputs!$B$31&lt;&gt;"",EOMONTH($A7,1)&gt;Inputs!$B$31)),"",EOMONTH($A7,1))</f>
        <v>45747</v>
      </c>
      <c r="B8" s="5"/>
      <c r="C8" s="4">
        <f t="shared" si="9"/>
        <v>1340095.640625</v>
      </c>
      <c r="D8" s="5"/>
      <c r="E8" s="8">
        <f>IF($A8="","",MAX(0,(1-(IF($D8="",Inputs!$B$21,$D8)))*IF($A8&lt;=DATE(2026,7,31),9,IF($A8&lt;=DATE(2027,7,31),7.5,6))))</f>
        <v>8.5499999999999989</v>
      </c>
      <c r="F8" s="4">
        <f>IF($A8="","",(IF($C8="",Inputs!$B$22,$C8))*$E8)</f>
        <v>11457817.727343749</v>
      </c>
      <c r="G8" s="4">
        <f>IF($A8="","",Inputs!$B$4+IF(AND(Inputs!$B$6&lt;&gt;"",$A8&gt;=EOMONTH(Inputs!$B$6,0)),Inputs!$B$5,0))</f>
        <v>10000000</v>
      </c>
      <c r="H8" s="4">
        <f t="shared" si="7"/>
        <v>6000000</v>
      </c>
      <c r="I8" s="4"/>
      <c r="J8" s="4"/>
      <c r="K8" s="4">
        <f>IF($A8="","",MAX(0,MIN($H8+IF($I8="",0,$I8)-IF($J8="",0,$J8),MIN($G8,$F8))))</f>
        <v>6000000</v>
      </c>
      <c r="L8" s="5">
        <f>IF($A8="","",MAX(Inputs!$B$14,(IF($B8="",Inputs!$B$20,$B8)+Inputs!$B$12)))</f>
        <v>0.08</v>
      </c>
      <c r="M8" s="4">
        <f t="shared" si="0"/>
        <v>40000</v>
      </c>
      <c r="N8" s="4">
        <f t="shared" si="1"/>
        <v>4000000</v>
      </c>
      <c r="O8" s="4">
        <f>IF($A8="","",$N8*Inputs!$B$15/12)</f>
        <v>833.33333333333337</v>
      </c>
      <c r="P8" s="4">
        <f>IF($A8="","",SUM(IF($A8=EOMONTH(Inputs!$B$3,0),Inputs!$B$4*Inputs!$B$16,0),IF(Inputs!$B$3="",0,IF($A8=EOMONTH(Inputs!$B$3,12),Inputs!$B$4*Inputs!$B$16,0)),IF(Inputs!$B$3="",0,IF($A8=EOMONTH(Inputs!$B$3,24),Inputs!$B$4*Inputs!$B$16,0))))</f>
        <v>0</v>
      </c>
      <c r="Q8" s="4">
        <f>IF($A8="","",IF(AND(Inputs!$B$18&lt;&gt;"",$A8=EOMONTH(Inputs!$B$18,0),Inputs!$B$18&lt;=Inputs!$B$23),Inputs!$B$4*Inputs!$B$17,0))</f>
        <v>0</v>
      </c>
      <c r="R8" s="4">
        <f t="shared" si="8"/>
        <v>0</v>
      </c>
      <c r="S8" s="4"/>
      <c r="T8" s="4">
        <f>IF($A8="","",IF(OR(Inputs!$B$27="",Inputs!$B$28=""),0,IF($A8&lt;Inputs!$B$27,0,IF($A8&gt;Inputs!$B$29,0,$R8/MAX(1,Inputs!$B$28-DATEDIF(Inputs!$B$27,$A8,"m"))))))</f>
        <v>0</v>
      </c>
      <c r="U8" s="4"/>
      <c r="V8" s="4">
        <f t="shared" si="2"/>
        <v>0</v>
      </c>
      <c r="W8" s="5">
        <f>IF($A8="","",MAX(Inputs!$B$14,(IF($B8="",Inputs!$B$20,$B8)+Inputs!$B$13)))</f>
        <v>8.249999999999999E-2</v>
      </c>
      <c r="X8" s="4">
        <f t="shared" si="3"/>
        <v>0</v>
      </c>
      <c r="Y8" s="4">
        <f>IF($A8="","",IF(AND(IF($U8="",0,$U8)&gt;0,Inputs!$B$24&lt;&gt;"",$A8&lt;=EOMONTH(Inputs!$B$24,0)),IF($U8="",0,$U8)*Inputs!$B$19,0))</f>
        <v>0</v>
      </c>
      <c r="Z8" s="4">
        <f t="shared" si="4"/>
        <v>0</v>
      </c>
      <c r="AA8" s="4">
        <f t="shared" si="5"/>
        <v>40833.333333333336</v>
      </c>
      <c r="AB8" s="4">
        <f t="shared" si="6"/>
        <v>-40833.333333333336</v>
      </c>
      <c r="AC8" s="4">
        <f>IF($A8="","",SUM($AB$2:$AB8))</f>
        <v>5821041.666666667</v>
      </c>
    </row>
    <row r="9" spans="1:29" x14ac:dyDescent="0.45">
      <c r="A9" s="3">
        <f>IF(OR($A8="",AND(Inputs!$B$31&lt;&gt;"",EOMONTH($A8,1)&gt;Inputs!$B$31)),"",EOMONTH($A8,1))</f>
        <v>45777</v>
      </c>
      <c r="B9" s="5"/>
      <c r="C9" s="4">
        <f t="shared" si="9"/>
        <v>1407100.42265625</v>
      </c>
      <c r="D9" s="5"/>
      <c r="E9" s="8">
        <f>IF($A9="","",MAX(0,(1-(IF($D9="",Inputs!$B$21,$D9)))*IF($A9&lt;=DATE(2026,7,31),9,IF($A9&lt;=DATE(2027,7,31),7.5,6))))</f>
        <v>8.5499999999999989</v>
      </c>
      <c r="F9" s="4">
        <f>IF($A9="","",(IF($C9="",Inputs!$B$22,$C9))*$E9)</f>
        <v>12030708.613710936</v>
      </c>
      <c r="G9" s="4">
        <f>IF($A9="","",Inputs!$B$4+IF(AND(Inputs!$B$6&lt;&gt;"",$A9&gt;=EOMONTH(Inputs!$B$6,0)),Inputs!$B$5,0))</f>
        <v>10000000</v>
      </c>
      <c r="H9" s="4">
        <f t="shared" si="7"/>
        <v>6000000</v>
      </c>
      <c r="I9" s="4"/>
      <c r="J9" s="4"/>
      <c r="K9" s="4">
        <f>IF($A9="","",MAX(0,MIN($H9+IF($I9="",0,$I9)-IF($J9="",0,$J9),MIN($G9,$F9))))</f>
        <v>6000000</v>
      </c>
      <c r="L9" s="5">
        <f>IF($A9="","",MAX(Inputs!$B$14,(IF($B9="",Inputs!$B$20,$B9)+Inputs!$B$12)))</f>
        <v>0.08</v>
      </c>
      <c r="M9" s="4">
        <f t="shared" si="0"/>
        <v>40000</v>
      </c>
      <c r="N9" s="4">
        <f t="shared" si="1"/>
        <v>4000000</v>
      </c>
      <c r="O9" s="4">
        <f>IF($A9="","",$N9*Inputs!$B$15/12)</f>
        <v>833.33333333333337</v>
      </c>
      <c r="P9" s="4">
        <f>IF($A9="","",SUM(IF($A9=EOMONTH(Inputs!$B$3,0),Inputs!$B$4*Inputs!$B$16,0),IF(Inputs!$B$3="",0,IF($A9=EOMONTH(Inputs!$B$3,12),Inputs!$B$4*Inputs!$B$16,0)),IF(Inputs!$B$3="",0,IF($A9=EOMONTH(Inputs!$B$3,24),Inputs!$B$4*Inputs!$B$16,0))))</f>
        <v>0</v>
      </c>
      <c r="Q9" s="4">
        <f>IF($A9="","",IF(AND(Inputs!$B$18&lt;&gt;"",$A9=EOMONTH(Inputs!$B$18,0),Inputs!$B$18&lt;=Inputs!$B$23),Inputs!$B$4*Inputs!$B$17,0))</f>
        <v>0</v>
      </c>
      <c r="R9" s="4">
        <f t="shared" si="8"/>
        <v>0</v>
      </c>
      <c r="S9" s="4"/>
      <c r="T9" s="4">
        <f>IF($A9="","",IF(OR(Inputs!$B$27="",Inputs!$B$28=""),0,IF($A9&lt;Inputs!$B$27,0,IF($A9&gt;Inputs!$B$29,0,$R9/MAX(1,Inputs!$B$28-DATEDIF(Inputs!$B$27,$A9,"m"))))))</f>
        <v>0</v>
      </c>
      <c r="U9" s="4"/>
      <c r="V9" s="4">
        <f t="shared" si="2"/>
        <v>0</v>
      </c>
      <c r="W9" s="5">
        <f>IF($A9="","",MAX(Inputs!$B$14,(IF($B9="",Inputs!$B$20,$B9)+Inputs!$B$13)))</f>
        <v>8.249999999999999E-2</v>
      </c>
      <c r="X9" s="4">
        <f t="shared" si="3"/>
        <v>0</v>
      </c>
      <c r="Y9" s="4">
        <f>IF($A9="","",IF(AND(IF($U9="",0,$U9)&gt;0,Inputs!$B$24&lt;&gt;"",$A9&lt;=EOMONTH(Inputs!$B$24,0)),IF($U9="",0,$U9)*Inputs!$B$19,0))</f>
        <v>0</v>
      </c>
      <c r="Z9" s="4">
        <f t="shared" si="4"/>
        <v>0</v>
      </c>
      <c r="AA9" s="4">
        <f t="shared" si="5"/>
        <v>40833.333333333336</v>
      </c>
      <c r="AB9" s="4">
        <f t="shared" si="6"/>
        <v>-40833.333333333336</v>
      </c>
      <c r="AC9" s="4">
        <f>IF($A9="","",SUM($AB$2:$AB9))</f>
        <v>5780208.333333334</v>
      </c>
    </row>
    <row r="10" spans="1:29" x14ac:dyDescent="0.45">
      <c r="A10" s="3">
        <f>IF(OR($A9="",AND(Inputs!$B$31&lt;&gt;"",EOMONTH($A9,1)&gt;Inputs!$B$31)),"",EOMONTH($A9,1))</f>
        <v>45808</v>
      </c>
      <c r="B10" s="5"/>
      <c r="C10" s="4">
        <f t="shared" si="9"/>
        <v>1477455.4437890626</v>
      </c>
      <c r="D10" s="5"/>
      <c r="E10" s="8">
        <f>IF($A10="","",MAX(0,(1-(IF($D10="",Inputs!$B$21,$D10)))*IF($A10&lt;=DATE(2026,7,31),9,IF($A10&lt;=DATE(2027,7,31),7.5,6))))</f>
        <v>8.5499999999999989</v>
      </c>
      <c r="F10" s="4">
        <f>IF($A10="","",(IF($C10="",Inputs!$B$22,$C10))*$E10)</f>
        <v>12632244.044396482</v>
      </c>
      <c r="G10" s="4">
        <f>IF($A10="","",Inputs!$B$4+IF(AND(Inputs!$B$6&lt;&gt;"",$A10&gt;=EOMONTH(Inputs!$B$6,0)),Inputs!$B$5,0))</f>
        <v>10000000</v>
      </c>
      <c r="H10" s="4">
        <f t="shared" si="7"/>
        <v>6000000</v>
      </c>
      <c r="I10" s="4"/>
      <c r="J10" s="4"/>
      <c r="K10" s="4">
        <f t="shared" ref="K2:K33" si="10">IF($A10="","",MAX(0,MIN($H10+IF($I10="",0,$I10)-IF($J10="",0,$J10),MIN($G10,$F10))))</f>
        <v>6000000</v>
      </c>
      <c r="L10" s="5">
        <f>IF($A10="","",MAX(Inputs!$B$14,(IF($B10="",Inputs!$B$20,$B10)+Inputs!$B$12)))</f>
        <v>0.08</v>
      </c>
      <c r="M10" s="4">
        <f t="shared" si="0"/>
        <v>40000</v>
      </c>
      <c r="N10" s="4">
        <f t="shared" si="1"/>
        <v>4000000</v>
      </c>
      <c r="O10" s="4">
        <f>IF($A10="","",$N10*Inputs!$B$15/12)</f>
        <v>833.33333333333337</v>
      </c>
      <c r="P10" s="4">
        <f>IF($A10="","",SUM(IF($A10=EOMONTH(Inputs!$B$3,0),Inputs!$B$4*Inputs!$B$16,0),IF(Inputs!$B$3="",0,IF($A10=EOMONTH(Inputs!$B$3,12),Inputs!$B$4*Inputs!$B$16,0)),IF(Inputs!$B$3="",0,IF($A10=EOMONTH(Inputs!$B$3,24),Inputs!$B$4*Inputs!$B$16,0))))</f>
        <v>0</v>
      </c>
      <c r="Q10" s="4">
        <f>IF($A10="","",IF(AND(Inputs!$B$18&lt;&gt;"",$A10=EOMONTH(Inputs!$B$18,0),Inputs!$B$18&lt;=Inputs!$B$23),Inputs!$B$4*Inputs!$B$17,0))</f>
        <v>0</v>
      </c>
      <c r="R10" s="4">
        <f t="shared" si="8"/>
        <v>0</v>
      </c>
      <c r="S10" s="4"/>
      <c r="T10" s="4">
        <f>IF($A10="","",IF(OR(Inputs!$B$27="",Inputs!$B$28=""),0,IF($A10&lt;Inputs!$B$27,0,IF($A10&gt;Inputs!$B$29,0,$R10/MAX(1,Inputs!$B$28-DATEDIF(Inputs!$B$27,$A10,"m"))))))</f>
        <v>0</v>
      </c>
      <c r="U10" s="4"/>
      <c r="V10" s="4">
        <f t="shared" si="2"/>
        <v>0</v>
      </c>
      <c r="W10" s="5">
        <f>IF($A10="","",MAX(Inputs!$B$14,(IF($B10="",Inputs!$B$20,$B10)+Inputs!$B$13)))</f>
        <v>8.249999999999999E-2</v>
      </c>
      <c r="X10" s="4">
        <f t="shared" si="3"/>
        <v>0</v>
      </c>
      <c r="Y10" s="4">
        <f>IF($A10="","",IF(AND(IF($U10="",0,$U10)&gt;0,Inputs!$B$24&lt;&gt;"",$A10&lt;=EOMONTH(Inputs!$B$24,0)),IF($U10="",0,$U10)*Inputs!$B$19,0))</f>
        <v>0</v>
      </c>
      <c r="Z10" s="4">
        <f t="shared" si="4"/>
        <v>0</v>
      </c>
      <c r="AA10" s="4">
        <f t="shared" si="5"/>
        <v>40833.333333333336</v>
      </c>
      <c r="AB10" s="4">
        <f t="shared" si="6"/>
        <v>-40833.333333333336</v>
      </c>
      <c r="AC10" s="4">
        <f>IF($A10="","",SUM($AB$2:$AB10))</f>
        <v>5739375.0000000009</v>
      </c>
    </row>
    <row r="11" spans="1:29" x14ac:dyDescent="0.45">
      <c r="A11" s="3">
        <f>IF(OR($A10="",AND(Inputs!$B$31&lt;&gt;"",EOMONTH($A10,1)&gt;Inputs!$B$31)),"",EOMONTH($A10,1))</f>
        <v>45838</v>
      </c>
      <c r="B11" s="5"/>
      <c r="C11" s="4">
        <f t="shared" si="9"/>
        <v>1551328.2159785158</v>
      </c>
      <c r="D11" s="5"/>
      <c r="E11" s="8">
        <f>IF($A11="","",MAX(0,(1-(IF($D11="",Inputs!$B$21,$D11)))*IF($A11&lt;=DATE(2026,7,31),9,IF($A11&lt;=DATE(2027,7,31),7.5,6))))</f>
        <v>8.5499999999999989</v>
      </c>
      <c r="F11" s="4">
        <f>IF($A11="","",(IF($C11="",Inputs!$B$22,$C11))*$E11)</f>
        <v>13263856.246616308</v>
      </c>
      <c r="G11" s="4">
        <f>IF($A11="","",Inputs!$B$4+IF(AND(Inputs!$B$6&lt;&gt;"",$A11&gt;=EOMONTH(Inputs!$B$6,0)),Inputs!$B$5,0))</f>
        <v>10000000</v>
      </c>
      <c r="H11" s="4">
        <f t="shared" si="7"/>
        <v>6000000</v>
      </c>
      <c r="I11" s="4"/>
      <c r="J11" s="4"/>
      <c r="K11" s="4">
        <f t="shared" si="10"/>
        <v>6000000</v>
      </c>
      <c r="L11" s="5">
        <f>IF($A11="","",MAX(Inputs!$B$14,(IF($B11="",Inputs!$B$20,$B11)+Inputs!$B$12)))</f>
        <v>0.08</v>
      </c>
      <c r="M11" s="4">
        <f t="shared" si="0"/>
        <v>40000</v>
      </c>
      <c r="N11" s="4">
        <f t="shared" si="1"/>
        <v>4000000</v>
      </c>
      <c r="O11" s="4">
        <f>IF($A11="","",$N11*Inputs!$B$15/12)</f>
        <v>833.33333333333337</v>
      </c>
      <c r="P11" s="4">
        <f>IF($A11="","",SUM(IF($A11=EOMONTH(Inputs!$B$3,0),Inputs!$B$4*Inputs!$B$16,0),IF(Inputs!$B$3="",0,IF($A11=EOMONTH(Inputs!$B$3,12),Inputs!$B$4*Inputs!$B$16,0)),IF(Inputs!$B$3="",0,IF($A11=EOMONTH(Inputs!$B$3,24),Inputs!$B$4*Inputs!$B$16,0))))</f>
        <v>0</v>
      </c>
      <c r="Q11" s="4">
        <f>IF($A11="","",IF(AND(Inputs!$B$18&lt;&gt;"",$A11=EOMONTH(Inputs!$B$18,0),Inputs!$B$18&lt;=Inputs!$B$23),Inputs!$B$4*Inputs!$B$17,0))</f>
        <v>0</v>
      </c>
      <c r="R11" s="4">
        <f t="shared" si="8"/>
        <v>0</v>
      </c>
      <c r="S11" s="4"/>
      <c r="T11" s="4">
        <f>IF($A11="","",IF(OR(Inputs!$B$27="",Inputs!$B$28=""),0,IF($A11&lt;Inputs!$B$27,0,IF($A11&gt;Inputs!$B$29,0,$R11/MAX(1,Inputs!$B$28-DATEDIF(Inputs!$B$27,$A11,"m"))))))</f>
        <v>0</v>
      </c>
      <c r="U11" s="4"/>
      <c r="V11" s="4">
        <f t="shared" si="2"/>
        <v>0</v>
      </c>
      <c r="W11" s="5">
        <f>IF($A11="","",MAX(Inputs!$B$14,(IF($B11="",Inputs!$B$20,$B11)+Inputs!$B$13)))</f>
        <v>8.249999999999999E-2</v>
      </c>
      <c r="X11" s="4">
        <f t="shared" si="3"/>
        <v>0</v>
      </c>
      <c r="Y11" s="4">
        <f>IF($A11="","",IF(AND(IF($U11="",0,$U11)&gt;0,Inputs!$B$24&lt;&gt;"",$A11&lt;=EOMONTH(Inputs!$B$24,0)),IF($U11="",0,$U11)*Inputs!$B$19,0))</f>
        <v>0</v>
      </c>
      <c r="Z11" s="4">
        <f t="shared" si="4"/>
        <v>0</v>
      </c>
      <c r="AA11" s="4">
        <f t="shared" si="5"/>
        <v>40833.333333333336</v>
      </c>
      <c r="AB11" s="4">
        <f t="shared" si="6"/>
        <v>-40833.333333333336</v>
      </c>
      <c r="AC11" s="4">
        <f>IF($A11="","",SUM($AB$2:$AB11))</f>
        <v>5698541.6666666679</v>
      </c>
    </row>
    <row r="12" spans="1:29" x14ac:dyDescent="0.45">
      <c r="A12" s="3">
        <f>IF(OR($A11="",AND(Inputs!$B$31&lt;&gt;"",EOMONTH($A11,1)&gt;Inputs!$B$31)),"",EOMONTH($A11,1))</f>
        <v>45869</v>
      </c>
      <c r="B12" s="5"/>
      <c r="C12" s="4">
        <f t="shared" si="9"/>
        <v>1628894.6267774417</v>
      </c>
      <c r="D12" s="5"/>
      <c r="E12" s="8">
        <f>IF($A12="","",MAX(0,(1-(IF($D12="",Inputs!$B$21,$D12)))*IF($A12&lt;=DATE(2026,7,31),9,IF($A12&lt;=DATE(2027,7,31),7.5,6))))</f>
        <v>8.5499999999999989</v>
      </c>
      <c r="F12" s="4">
        <f>IF($A12="","",(IF($C12="",Inputs!$B$22,$C12))*$E12)</f>
        <v>13927049.058947125</v>
      </c>
      <c r="G12" s="4">
        <f>IF($A12="","",Inputs!$B$4+IF(AND(Inputs!$B$6&lt;&gt;"",$A12&gt;=EOMONTH(Inputs!$B$6,0)),Inputs!$B$5,0))</f>
        <v>10000000</v>
      </c>
      <c r="H12" s="4">
        <f t="shared" si="7"/>
        <v>6000000</v>
      </c>
      <c r="I12" s="4"/>
      <c r="J12" s="4"/>
      <c r="K12" s="4">
        <f t="shared" si="10"/>
        <v>6000000</v>
      </c>
      <c r="L12" s="5">
        <f>IF($A12="","",MAX(Inputs!$B$14,(IF($B12="",Inputs!$B$20,$B12)+Inputs!$B$12)))</f>
        <v>0.08</v>
      </c>
      <c r="M12" s="4">
        <f t="shared" si="0"/>
        <v>40000</v>
      </c>
      <c r="N12" s="4">
        <f t="shared" si="1"/>
        <v>4000000</v>
      </c>
      <c r="O12" s="4">
        <f>IF($A12="","",$N12*Inputs!$B$15/12)</f>
        <v>833.33333333333337</v>
      </c>
      <c r="P12" s="4">
        <f>IF($A12="","",SUM(IF($A12=EOMONTH(Inputs!$B$3,0),Inputs!$B$4*Inputs!$B$16,0),IF(Inputs!$B$3="",0,IF($A12=EOMONTH(Inputs!$B$3,12),Inputs!$B$4*Inputs!$B$16,0)),IF(Inputs!$B$3="",0,IF($A12=EOMONTH(Inputs!$B$3,24),Inputs!$B$4*Inputs!$B$16,0))))</f>
        <v>0</v>
      </c>
      <c r="Q12" s="4">
        <f>IF($A12="","",IF(AND(Inputs!$B$18&lt;&gt;"",$A12=EOMONTH(Inputs!$B$18,0),Inputs!$B$18&lt;=Inputs!$B$23),Inputs!$B$4*Inputs!$B$17,0))</f>
        <v>0</v>
      </c>
      <c r="R12" s="4">
        <f t="shared" si="8"/>
        <v>0</v>
      </c>
      <c r="S12" s="4"/>
      <c r="T12" s="4">
        <f>IF($A12="","",IF(OR(Inputs!$B$27="",Inputs!$B$28=""),0,IF($A12&lt;Inputs!$B$27,0,IF($A12&gt;Inputs!$B$29,0,$R12/MAX(1,Inputs!$B$28-DATEDIF(Inputs!$B$27,$A12,"m"))))))</f>
        <v>0</v>
      </c>
      <c r="U12" s="4"/>
      <c r="V12" s="4">
        <f t="shared" si="2"/>
        <v>0</v>
      </c>
      <c r="W12" s="5">
        <f>IF($A12="","",MAX(Inputs!$B$14,(IF($B12="",Inputs!$B$20,$B12)+Inputs!$B$13)))</f>
        <v>8.249999999999999E-2</v>
      </c>
      <c r="X12" s="4">
        <f t="shared" si="3"/>
        <v>0</v>
      </c>
      <c r="Y12" s="4">
        <f>IF($A12="","",IF(AND(IF($U12="",0,$U12)&gt;0,Inputs!$B$24&lt;&gt;"",$A12&lt;=EOMONTH(Inputs!$B$24,0)),IF($U12="",0,$U12)*Inputs!$B$19,0))</f>
        <v>0</v>
      </c>
      <c r="Z12" s="4">
        <f t="shared" si="4"/>
        <v>0</v>
      </c>
      <c r="AA12" s="4">
        <f t="shared" si="5"/>
        <v>40833.333333333336</v>
      </c>
      <c r="AB12" s="4">
        <f t="shared" si="6"/>
        <v>-40833.333333333336</v>
      </c>
      <c r="AC12" s="4">
        <f>IF($A12="","",SUM($AB$2:$AB12))</f>
        <v>5657708.3333333349</v>
      </c>
    </row>
    <row r="13" spans="1:29" x14ac:dyDescent="0.45">
      <c r="A13" s="3">
        <f>IF(OR($A12="",AND(Inputs!$B$31&lt;&gt;"",EOMONTH($A12,1)&gt;Inputs!$B$31)),"",EOMONTH($A12,1))</f>
        <v>45900</v>
      </c>
      <c r="B13" s="5"/>
      <c r="C13" s="4">
        <f t="shared" si="9"/>
        <v>1710339.3581163138</v>
      </c>
      <c r="D13" s="5"/>
      <c r="E13" s="8">
        <f>IF($A13="","",MAX(0,(1-(IF($D13="",Inputs!$B$21,$D13)))*IF($A13&lt;=DATE(2026,7,31),9,IF($A13&lt;=DATE(2027,7,31),7.5,6))))</f>
        <v>8.5499999999999989</v>
      </c>
      <c r="F13" s="4">
        <f>IF($A13="","",(IF($C13="",Inputs!$B$22,$C13))*$E13)</f>
        <v>14623401.511894481</v>
      </c>
      <c r="G13" s="4">
        <f>IF($A13="","",Inputs!$B$4+IF(AND(Inputs!$B$6&lt;&gt;"",$A13&gt;=EOMONTH(Inputs!$B$6,0)),Inputs!$B$5,0))</f>
        <v>10000000</v>
      </c>
      <c r="H13" s="4">
        <f t="shared" si="7"/>
        <v>6000000</v>
      </c>
      <c r="I13" s="4"/>
      <c r="J13" s="4"/>
      <c r="K13" s="4">
        <f t="shared" si="10"/>
        <v>6000000</v>
      </c>
      <c r="L13" s="5">
        <f>IF($A13="","",MAX(Inputs!$B$14,(IF($B13="",Inputs!$B$20,$B13)+Inputs!$B$12)))</f>
        <v>0.08</v>
      </c>
      <c r="M13" s="4">
        <f t="shared" si="0"/>
        <v>40000</v>
      </c>
      <c r="N13" s="4">
        <f t="shared" si="1"/>
        <v>4000000</v>
      </c>
      <c r="O13" s="4">
        <f>IF($A13="","",$N13*Inputs!$B$15/12)</f>
        <v>833.33333333333337</v>
      </c>
      <c r="P13" s="4">
        <f>IF($A13="","",SUM(IF($A13=EOMONTH(Inputs!$B$3,0),Inputs!$B$4*Inputs!$B$16,0),IF(Inputs!$B$3="",0,IF($A13=EOMONTH(Inputs!$B$3,12),Inputs!$B$4*Inputs!$B$16,0)),IF(Inputs!$B$3="",0,IF($A13=EOMONTH(Inputs!$B$3,24),Inputs!$B$4*Inputs!$B$16,0))))</f>
        <v>0</v>
      </c>
      <c r="Q13" s="4">
        <f>IF($A13="","",IF(AND(Inputs!$B$18&lt;&gt;"",$A13=EOMONTH(Inputs!$B$18,0),Inputs!$B$18&lt;=Inputs!$B$23),Inputs!$B$4*Inputs!$B$17,0))</f>
        <v>0</v>
      </c>
      <c r="R13" s="4">
        <f t="shared" si="8"/>
        <v>0</v>
      </c>
      <c r="S13" s="4"/>
      <c r="T13" s="4">
        <f>IF($A13="","",IF(OR(Inputs!$B$27="",Inputs!$B$28=""),0,IF($A13&lt;Inputs!$B$27,0,IF($A13&gt;Inputs!$B$29,0,$R13/MAX(1,Inputs!$B$28-DATEDIF(Inputs!$B$27,$A13,"m"))))))</f>
        <v>0</v>
      </c>
      <c r="U13" s="4"/>
      <c r="V13" s="4">
        <f t="shared" si="2"/>
        <v>0</v>
      </c>
      <c r="W13" s="5">
        <f>IF($A13="","",MAX(Inputs!$B$14,(IF($B13="",Inputs!$B$20,$B13)+Inputs!$B$13)))</f>
        <v>8.249999999999999E-2</v>
      </c>
      <c r="X13" s="4">
        <f t="shared" si="3"/>
        <v>0</v>
      </c>
      <c r="Y13" s="4">
        <f>IF($A13="","",IF(AND(IF($U13="",0,$U13)&gt;0,Inputs!$B$24&lt;&gt;"",$A13&lt;=EOMONTH(Inputs!$B$24,0)),IF($U13="",0,$U13)*Inputs!$B$19,0))</f>
        <v>0</v>
      </c>
      <c r="Z13" s="4">
        <f t="shared" si="4"/>
        <v>0</v>
      </c>
      <c r="AA13" s="4">
        <f t="shared" si="5"/>
        <v>40833.333333333336</v>
      </c>
      <c r="AB13" s="4">
        <f t="shared" si="6"/>
        <v>-40833.333333333336</v>
      </c>
      <c r="AC13" s="4">
        <f>IF($A13="","",SUM($AB$2:$AB13))</f>
        <v>5616875.0000000019</v>
      </c>
    </row>
    <row r="14" spans="1:29" x14ac:dyDescent="0.45">
      <c r="A14" s="3">
        <f>IF(OR($A13="",AND(Inputs!$B$31&lt;&gt;"",EOMONTH($A13,1)&gt;Inputs!$B$31)),"",EOMONTH($A13,1))</f>
        <v>45930</v>
      </c>
      <c r="B14" s="5"/>
      <c r="C14" s="4">
        <f t="shared" si="9"/>
        <v>1795856.3260221295</v>
      </c>
      <c r="D14" s="5"/>
      <c r="E14" s="8">
        <f>IF($A14="","",MAX(0,(1-(IF($D14="",Inputs!$B$21,$D14)))*IF($A14&lt;=DATE(2026,7,31),9,IF($A14&lt;=DATE(2027,7,31),7.5,6))))</f>
        <v>8.5499999999999989</v>
      </c>
      <c r="F14" s="4">
        <f>IF($A14="","",(IF($C14="",Inputs!$B$22,$C14))*$E14)</f>
        <v>15354571.587489204</v>
      </c>
      <c r="G14" s="4">
        <f>IF($A14="","",Inputs!$B$4+IF(AND(Inputs!$B$6&lt;&gt;"",$A14&gt;=EOMONTH(Inputs!$B$6,0)),Inputs!$B$5,0))</f>
        <v>10000000</v>
      </c>
      <c r="H14" s="4">
        <f t="shared" si="7"/>
        <v>6000000</v>
      </c>
      <c r="I14" s="4"/>
      <c r="J14" s="4"/>
      <c r="K14" s="4">
        <f t="shared" si="10"/>
        <v>6000000</v>
      </c>
      <c r="L14" s="5">
        <f>IF($A14="","",MAX(Inputs!$B$14,(IF($B14="",Inputs!$B$20,$B14)+Inputs!$B$12)))</f>
        <v>0.08</v>
      </c>
      <c r="M14" s="4">
        <f t="shared" si="0"/>
        <v>40000</v>
      </c>
      <c r="N14" s="4">
        <f t="shared" si="1"/>
        <v>4000000</v>
      </c>
      <c r="O14" s="4">
        <f>IF($A14="","",$N14*Inputs!$B$15/12)</f>
        <v>833.33333333333337</v>
      </c>
      <c r="P14" s="4">
        <f>IF($A14="","",SUM(IF($A14=EOMONTH(Inputs!$B$3,0),Inputs!$B$4*Inputs!$B$16,0),IF(Inputs!$B$3="",0,IF($A14=EOMONTH(Inputs!$B$3,12),Inputs!$B$4*Inputs!$B$16,0)),IF(Inputs!$B$3="",0,IF($A14=EOMONTH(Inputs!$B$3,24),Inputs!$B$4*Inputs!$B$16,0))))</f>
        <v>10000</v>
      </c>
      <c r="Q14" s="4">
        <f>IF($A14="","",IF(AND(Inputs!$B$18&lt;&gt;"",$A14=EOMONTH(Inputs!$B$18,0),Inputs!$B$18&lt;=Inputs!$B$23),Inputs!$B$4*Inputs!$B$17,0))</f>
        <v>0</v>
      </c>
      <c r="R14" s="4">
        <f t="shared" si="8"/>
        <v>0</v>
      </c>
      <c r="S14" s="4"/>
      <c r="T14" s="4">
        <f>IF($A14="","",IF(OR(Inputs!$B$27="",Inputs!$B$28=""),0,IF($A14&lt;Inputs!$B$27,0,IF($A14&gt;Inputs!$B$29,0,$R14/MAX(1,Inputs!$B$28-DATEDIF(Inputs!$B$27,$A14,"m"))))))</f>
        <v>0</v>
      </c>
      <c r="U14" s="4"/>
      <c r="V14" s="4">
        <f t="shared" si="2"/>
        <v>0</v>
      </c>
      <c r="W14" s="5">
        <f>IF($A14="","",MAX(Inputs!$B$14,(IF($B14="",Inputs!$B$20,$B14)+Inputs!$B$13)))</f>
        <v>8.249999999999999E-2</v>
      </c>
      <c r="X14" s="4">
        <f t="shared" si="3"/>
        <v>0</v>
      </c>
      <c r="Y14" s="4">
        <f>IF($A14="","",IF(AND(IF($U14="",0,$U14)&gt;0,Inputs!$B$24&lt;&gt;"",$A14&lt;=EOMONTH(Inputs!$B$24,0)),IF($U14="",0,$U14)*Inputs!$B$19,0))</f>
        <v>0</v>
      </c>
      <c r="Z14" s="4">
        <f t="shared" si="4"/>
        <v>0</v>
      </c>
      <c r="AA14" s="4">
        <f t="shared" si="5"/>
        <v>50833.333333333336</v>
      </c>
      <c r="AB14" s="4">
        <f t="shared" si="6"/>
        <v>-50833.333333333336</v>
      </c>
      <c r="AC14" s="4">
        <f>IF($A14="","",SUM($AB$2:$AB14))</f>
        <v>5566041.6666666688</v>
      </c>
    </row>
    <row r="15" spans="1:29" x14ac:dyDescent="0.45">
      <c r="A15" s="3">
        <f>IF(OR($A14="",AND(Inputs!$B$31&lt;&gt;"",EOMONTH($A14,1)&gt;Inputs!$B$31)),"",EOMONTH($A14,1))</f>
        <v>45961</v>
      </c>
      <c r="B15" s="5"/>
      <c r="C15" s="4">
        <f t="shared" si="9"/>
        <v>1885649.142323236</v>
      </c>
      <c r="D15" s="5"/>
      <c r="E15" s="8">
        <f>IF($A15="","",MAX(0,(1-(IF($D15="",Inputs!$B$21,$D15)))*IF($A15&lt;=DATE(2026,7,31),9,IF($A15&lt;=DATE(2027,7,31),7.5,6))))</f>
        <v>8.5499999999999989</v>
      </c>
      <c r="F15" s="4">
        <f>IF($A15="","",(IF($C15="",Inputs!$B$22,$C15))*$E15)</f>
        <v>16122300.166863665</v>
      </c>
      <c r="G15" s="4">
        <f>IF($A15="","",Inputs!$B$4+IF(AND(Inputs!$B$6&lt;&gt;"",$A15&gt;=EOMONTH(Inputs!$B$6,0)),Inputs!$B$5,0))</f>
        <v>10000000</v>
      </c>
      <c r="H15" s="4">
        <f t="shared" si="7"/>
        <v>6000000</v>
      </c>
      <c r="I15" s="4"/>
      <c r="J15" s="4"/>
      <c r="K15" s="4">
        <f t="shared" si="10"/>
        <v>6000000</v>
      </c>
      <c r="L15" s="5">
        <f>IF($A15="","",MAX(Inputs!$B$14,(IF($B15="",Inputs!$B$20,$B15)+Inputs!$B$12)))</f>
        <v>0.08</v>
      </c>
      <c r="M15" s="4">
        <f t="shared" si="0"/>
        <v>40000</v>
      </c>
      <c r="N15" s="4">
        <f t="shared" si="1"/>
        <v>4000000</v>
      </c>
      <c r="O15" s="4">
        <f>IF($A15="","",$N15*Inputs!$B$15/12)</f>
        <v>833.33333333333337</v>
      </c>
      <c r="P15" s="4">
        <f>IF($A15="","",SUM(IF($A15=EOMONTH(Inputs!$B$3,0),Inputs!$B$4*Inputs!$B$16,0),IF(Inputs!$B$3="",0,IF($A15=EOMONTH(Inputs!$B$3,12),Inputs!$B$4*Inputs!$B$16,0)),IF(Inputs!$B$3="",0,IF($A15=EOMONTH(Inputs!$B$3,24),Inputs!$B$4*Inputs!$B$16,0))))</f>
        <v>0</v>
      </c>
      <c r="Q15" s="4">
        <f>IF($A15="","",IF(AND(Inputs!$B$18&lt;&gt;"",$A15=EOMONTH(Inputs!$B$18,0),Inputs!$B$18&lt;=Inputs!$B$23),Inputs!$B$4*Inputs!$B$17,0))</f>
        <v>0</v>
      </c>
      <c r="R15" s="4">
        <f t="shared" si="8"/>
        <v>0</v>
      </c>
      <c r="S15" s="4"/>
      <c r="T15" s="4">
        <f>IF($A15="","",IF(OR(Inputs!$B$27="",Inputs!$B$28=""),0,IF($A15&lt;Inputs!$B$27,0,IF($A15&gt;Inputs!$B$29,0,$R15/MAX(1,Inputs!$B$28-DATEDIF(Inputs!$B$27,$A15,"m"))))))</f>
        <v>0</v>
      </c>
      <c r="U15" s="4"/>
      <c r="V15" s="4">
        <f t="shared" si="2"/>
        <v>0</v>
      </c>
      <c r="W15" s="5">
        <f>IF($A15="","",MAX(Inputs!$B$14,(IF($B15="",Inputs!$B$20,$B15)+Inputs!$B$13)))</f>
        <v>8.249999999999999E-2</v>
      </c>
      <c r="X15" s="4">
        <f t="shared" si="3"/>
        <v>0</v>
      </c>
      <c r="Y15" s="4">
        <f>IF($A15="","",IF(AND(IF($U15="",0,$U15)&gt;0,Inputs!$B$24&lt;&gt;"",$A15&lt;=EOMONTH(Inputs!$B$24,0)),IF($U15="",0,$U15)*Inputs!$B$19,0))</f>
        <v>0</v>
      </c>
      <c r="Z15" s="4">
        <f t="shared" si="4"/>
        <v>0</v>
      </c>
      <c r="AA15" s="4">
        <f t="shared" si="5"/>
        <v>40833.333333333336</v>
      </c>
      <c r="AB15" s="4">
        <f t="shared" si="6"/>
        <v>-40833.333333333336</v>
      </c>
      <c r="AC15" s="4">
        <f>IF($A15="","",SUM($AB$2:$AB15))</f>
        <v>5525208.3333333358</v>
      </c>
    </row>
    <row r="16" spans="1:29" x14ac:dyDescent="0.45">
      <c r="A16" s="3">
        <f>IF(OR($A15="",AND(Inputs!$B$31&lt;&gt;"",EOMONTH($A15,1)&gt;Inputs!$B$31)),"",EOMONTH($A15,1))</f>
        <v>45991</v>
      </c>
      <c r="B16" s="5"/>
      <c r="C16" s="4">
        <f t="shared" si="9"/>
        <v>1979931.5994393979</v>
      </c>
      <c r="D16" s="5"/>
      <c r="E16" s="8">
        <f>IF($A16="","",MAX(0,(1-(IF($D16="",Inputs!$B$21,$D16)))*IF($A16&lt;=DATE(2026,7,31),9,IF($A16&lt;=DATE(2027,7,31),7.5,6))))</f>
        <v>8.5499999999999989</v>
      </c>
      <c r="F16" s="4">
        <f>IF($A16="","",(IF($C16="",Inputs!$B$22,$C16))*$E16)</f>
        <v>16928415.175206851</v>
      </c>
      <c r="G16" s="4">
        <f>IF($A16="","",Inputs!$B$4+IF(AND(Inputs!$B$6&lt;&gt;"",$A16&gt;=EOMONTH(Inputs!$B$6,0)),Inputs!$B$5,0))</f>
        <v>10000000</v>
      </c>
      <c r="H16" s="4">
        <f t="shared" si="7"/>
        <v>6000000</v>
      </c>
      <c r="I16" s="4"/>
      <c r="J16" s="4"/>
      <c r="K16" s="4">
        <f t="shared" si="10"/>
        <v>6000000</v>
      </c>
      <c r="L16" s="5">
        <f>IF($A16="","",MAX(Inputs!$B$14,(IF($B16="",Inputs!$B$20,$B16)+Inputs!$B$12)))</f>
        <v>0.08</v>
      </c>
      <c r="M16" s="4">
        <f t="shared" si="0"/>
        <v>40000</v>
      </c>
      <c r="N16" s="4">
        <f t="shared" si="1"/>
        <v>4000000</v>
      </c>
      <c r="O16" s="4">
        <f>IF($A16="","",$N16*Inputs!$B$15/12)</f>
        <v>833.33333333333337</v>
      </c>
      <c r="P16" s="4">
        <f>IF($A16="","",SUM(IF($A16=EOMONTH(Inputs!$B$3,0),Inputs!$B$4*Inputs!$B$16,0),IF(Inputs!$B$3="",0,IF($A16=EOMONTH(Inputs!$B$3,12),Inputs!$B$4*Inputs!$B$16,0)),IF(Inputs!$B$3="",0,IF($A16=EOMONTH(Inputs!$B$3,24),Inputs!$B$4*Inputs!$B$16,0))))</f>
        <v>0</v>
      </c>
      <c r="Q16" s="4">
        <f>IF($A16="","",IF(AND(Inputs!$B$18&lt;&gt;"",$A16=EOMONTH(Inputs!$B$18,0),Inputs!$B$18&lt;=Inputs!$B$23),Inputs!$B$4*Inputs!$B$17,0))</f>
        <v>0</v>
      </c>
      <c r="R16" s="4">
        <f t="shared" si="8"/>
        <v>0</v>
      </c>
      <c r="S16" s="4"/>
      <c r="T16" s="4">
        <f>IF($A16="","",IF(OR(Inputs!$B$27="",Inputs!$B$28=""),0,IF($A16&lt;Inputs!$B$27,0,IF($A16&gt;Inputs!$B$29,0,$R16/MAX(1,Inputs!$B$28-DATEDIF(Inputs!$B$27,$A16,"m"))))))</f>
        <v>0</v>
      </c>
      <c r="U16" s="4"/>
      <c r="V16" s="4">
        <f t="shared" si="2"/>
        <v>0</v>
      </c>
      <c r="W16" s="5">
        <f>IF($A16="","",MAX(Inputs!$B$14,(IF($B16="",Inputs!$B$20,$B16)+Inputs!$B$13)))</f>
        <v>8.249999999999999E-2</v>
      </c>
      <c r="X16" s="4">
        <f t="shared" si="3"/>
        <v>0</v>
      </c>
      <c r="Y16" s="4">
        <f>IF($A16="","",IF(AND(IF($U16="",0,$U16)&gt;0,Inputs!$B$24&lt;&gt;"",$A16&lt;=EOMONTH(Inputs!$B$24,0)),IF($U16="",0,$U16)*Inputs!$B$19,0))</f>
        <v>0</v>
      </c>
      <c r="Z16" s="4">
        <f t="shared" si="4"/>
        <v>0</v>
      </c>
      <c r="AA16" s="4">
        <f t="shared" si="5"/>
        <v>40833.333333333336</v>
      </c>
      <c r="AB16" s="4">
        <f t="shared" si="6"/>
        <v>-40833.333333333336</v>
      </c>
      <c r="AC16" s="4">
        <f>IF($A16="","",SUM($AB$2:$AB16))</f>
        <v>5484375.0000000028</v>
      </c>
    </row>
    <row r="17" spans="1:29" x14ac:dyDescent="0.45">
      <c r="A17" s="3">
        <f>IF(OR($A16="",AND(Inputs!$B$31&lt;&gt;"",EOMONTH($A16,1)&gt;Inputs!$B$31)),"",EOMONTH($A16,1))</f>
        <v>46022</v>
      </c>
      <c r="B17" s="5"/>
      <c r="C17" s="4">
        <f t="shared" si="9"/>
        <v>2078928.179411368</v>
      </c>
      <c r="D17" s="5"/>
      <c r="E17" s="8">
        <f>IF($A17="","",MAX(0,(1-(IF($D17="",Inputs!$B$21,$D17)))*IF($A17&lt;=DATE(2026,7,31),9,IF($A17&lt;=DATE(2027,7,31),7.5,6))))</f>
        <v>8.5499999999999989</v>
      </c>
      <c r="F17" s="4">
        <f>IF($A17="","",(IF($C17="",Inputs!$B$22,$C17))*$E17)</f>
        <v>17774835.933967195</v>
      </c>
      <c r="G17" s="4">
        <f>IF($A17="","",Inputs!$B$4+IF(AND(Inputs!$B$6&lt;&gt;"",$A17&gt;=EOMONTH(Inputs!$B$6,0)),Inputs!$B$5,0))</f>
        <v>10000000</v>
      </c>
      <c r="H17" s="4">
        <f t="shared" si="7"/>
        <v>6000000</v>
      </c>
      <c r="I17" s="4"/>
      <c r="J17" s="4"/>
      <c r="K17" s="4">
        <f t="shared" si="10"/>
        <v>6000000</v>
      </c>
      <c r="L17" s="5">
        <f>IF($A17="","",MAX(Inputs!$B$14,(IF($B17="",Inputs!$B$20,$B17)+Inputs!$B$12)))</f>
        <v>0.08</v>
      </c>
      <c r="M17" s="4">
        <f t="shared" si="0"/>
        <v>40000</v>
      </c>
      <c r="N17" s="4">
        <f t="shared" si="1"/>
        <v>4000000</v>
      </c>
      <c r="O17" s="4">
        <f>IF($A17="","",$N17*Inputs!$B$15/12)</f>
        <v>833.33333333333337</v>
      </c>
      <c r="P17" s="4">
        <f>IF($A17="","",SUM(IF($A17=EOMONTH(Inputs!$B$3,0),Inputs!$B$4*Inputs!$B$16,0),IF(Inputs!$B$3="",0,IF($A17=EOMONTH(Inputs!$B$3,12),Inputs!$B$4*Inputs!$B$16,0)),IF(Inputs!$B$3="",0,IF($A17=EOMONTH(Inputs!$B$3,24),Inputs!$B$4*Inputs!$B$16,0))))</f>
        <v>0</v>
      </c>
      <c r="Q17" s="4">
        <f>IF($A17="","",IF(AND(Inputs!$B$18&lt;&gt;"",$A17=EOMONTH(Inputs!$B$18,0),Inputs!$B$18&lt;=Inputs!$B$23),Inputs!$B$4*Inputs!$B$17,0))</f>
        <v>0</v>
      </c>
      <c r="R17" s="4">
        <f t="shared" si="8"/>
        <v>0</v>
      </c>
      <c r="S17" s="4"/>
      <c r="T17" s="4">
        <f>IF($A17="","",IF(OR(Inputs!$B$27="",Inputs!$B$28=""),0,IF($A17&lt;Inputs!$B$27,0,IF($A17&gt;Inputs!$B$29,0,$R17/MAX(1,Inputs!$B$28-DATEDIF(Inputs!$B$27,$A17,"m"))))))</f>
        <v>0</v>
      </c>
      <c r="U17" s="4"/>
      <c r="V17" s="4">
        <f t="shared" si="2"/>
        <v>0</v>
      </c>
      <c r="W17" s="5">
        <f>IF($A17="","",MAX(Inputs!$B$14,(IF($B17="",Inputs!$B$20,$B17)+Inputs!$B$13)))</f>
        <v>8.249999999999999E-2</v>
      </c>
      <c r="X17" s="4">
        <f t="shared" si="3"/>
        <v>0</v>
      </c>
      <c r="Y17" s="4">
        <f>IF($A17="","",IF(AND(IF($U17="",0,$U17)&gt;0,Inputs!$B$24&lt;&gt;"",$A17&lt;=EOMONTH(Inputs!$B$24,0)),IF($U17="",0,$U17)*Inputs!$B$19,0))</f>
        <v>0</v>
      </c>
      <c r="Z17" s="4">
        <f t="shared" si="4"/>
        <v>0</v>
      </c>
      <c r="AA17" s="4">
        <f t="shared" si="5"/>
        <v>40833.333333333336</v>
      </c>
      <c r="AB17" s="4">
        <f t="shared" si="6"/>
        <v>-40833.333333333336</v>
      </c>
      <c r="AC17" s="4">
        <f>IF($A17="","",SUM($AB$2:$AB17))</f>
        <v>5443541.6666666698</v>
      </c>
    </row>
    <row r="18" spans="1:29" x14ac:dyDescent="0.45">
      <c r="A18" s="3">
        <f>IF(OR($A17="",AND(Inputs!$B$31&lt;&gt;"",EOMONTH($A17,1)&gt;Inputs!$B$31)),"",EOMONTH($A17,1))</f>
        <v>46053</v>
      </c>
      <c r="B18" s="5"/>
      <c r="C18" s="4">
        <f t="shared" si="9"/>
        <v>2182874.5883819363</v>
      </c>
      <c r="D18" s="5"/>
      <c r="E18" s="8">
        <f>IF($A18="","",MAX(0,(1-(IF($D18="",Inputs!$B$21,$D18)))*IF($A18&lt;=DATE(2026,7,31),9,IF($A18&lt;=DATE(2027,7,31),7.5,6))))</f>
        <v>8.5499999999999989</v>
      </c>
      <c r="F18" s="4">
        <f>IF($A18="","",(IF($C18="",Inputs!$B$22,$C18))*$E18)</f>
        <v>18663577.730665553</v>
      </c>
      <c r="G18" s="4">
        <f>IF($A18="","",Inputs!$B$4+IF(AND(Inputs!$B$6&lt;&gt;"",$A18&gt;=EOMONTH(Inputs!$B$6,0)),Inputs!$B$5,0))</f>
        <v>10000000</v>
      </c>
      <c r="H18" s="4">
        <f t="shared" si="7"/>
        <v>6000000</v>
      </c>
      <c r="I18" s="4"/>
      <c r="J18" s="4"/>
      <c r="K18" s="4">
        <f t="shared" si="10"/>
        <v>6000000</v>
      </c>
      <c r="L18" s="5">
        <f>IF($A18="","",MAX(Inputs!$B$14,(IF($B18="",Inputs!$B$20,$B18)+Inputs!$B$12)))</f>
        <v>0.08</v>
      </c>
      <c r="M18" s="4">
        <f t="shared" si="0"/>
        <v>40000</v>
      </c>
      <c r="N18" s="4">
        <f t="shared" si="1"/>
        <v>4000000</v>
      </c>
      <c r="O18" s="4">
        <f>IF($A18="","",$N18*Inputs!$B$15/12)</f>
        <v>833.33333333333337</v>
      </c>
      <c r="P18" s="4">
        <f>IF($A18="","",SUM(IF($A18=EOMONTH(Inputs!$B$3,0),Inputs!$B$4*Inputs!$B$16,0),IF(Inputs!$B$3="",0,IF($A18=EOMONTH(Inputs!$B$3,12),Inputs!$B$4*Inputs!$B$16,0)),IF(Inputs!$B$3="",0,IF($A18=EOMONTH(Inputs!$B$3,24),Inputs!$B$4*Inputs!$B$16,0))))</f>
        <v>0</v>
      </c>
      <c r="Q18" s="4">
        <f>IF($A18="","",IF(AND(Inputs!$B$18&lt;&gt;"",$A18=EOMONTH(Inputs!$B$18,0),Inputs!$B$18&lt;=Inputs!$B$23),Inputs!$B$4*Inputs!$B$17,0))</f>
        <v>0</v>
      </c>
      <c r="R18" s="4">
        <f t="shared" si="8"/>
        <v>0</v>
      </c>
      <c r="S18" s="4"/>
      <c r="T18" s="4">
        <f>IF($A18="","",IF(OR(Inputs!$B$27="",Inputs!$B$28=""),0,IF($A18&lt;Inputs!$B$27,0,IF($A18&gt;Inputs!$B$29,0,$R18/MAX(1,Inputs!$B$28-DATEDIF(Inputs!$B$27,$A18,"m"))))))</f>
        <v>0</v>
      </c>
      <c r="U18" s="4"/>
      <c r="V18" s="4">
        <f t="shared" si="2"/>
        <v>0</v>
      </c>
      <c r="W18" s="5">
        <f>IF($A18="","",MAX(Inputs!$B$14,(IF($B18="",Inputs!$B$20,$B18)+Inputs!$B$13)))</f>
        <v>8.249999999999999E-2</v>
      </c>
      <c r="X18" s="4">
        <f t="shared" si="3"/>
        <v>0</v>
      </c>
      <c r="Y18" s="4">
        <f>IF($A18="","",IF(AND(IF($U18="",0,$U18)&gt;0,Inputs!$B$24&lt;&gt;"",$A18&lt;=EOMONTH(Inputs!$B$24,0)),IF($U18="",0,$U18)*Inputs!$B$19,0))</f>
        <v>0</v>
      </c>
      <c r="Z18" s="4">
        <f t="shared" si="4"/>
        <v>0</v>
      </c>
      <c r="AA18" s="4">
        <f t="shared" si="5"/>
        <v>40833.333333333336</v>
      </c>
      <c r="AB18" s="4">
        <f t="shared" si="6"/>
        <v>-40833.333333333336</v>
      </c>
      <c r="AC18" s="4">
        <f>IF($A18="","",SUM($AB$2:$AB18))</f>
        <v>5402708.3333333367</v>
      </c>
    </row>
    <row r="19" spans="1:29" x14ac:dyDescent="0.45">
      <c r="A19" s="3">
        <f>IF(OR($A18="",AND(Inputs!$B$31&lt;&gt;"",EOMONTH($A18,1)&gt;Inputs!$B$31)),"",EOMONTH($A18,1))</f>
        <v>46081</v>
      </c>
      <c r="B19" s="5"/>
      <c r="C19" s="4">
        <f t="shared" si="9"/>
        <v>2292018.3178010331</v>
      </c>
      <c r="D19" s="5"/>
      <c r="E19" s="8">
        <f>IF($A19="","",MAX(0,(1-(IF($D19="",Inputs!$B$21,$D19)))*IF($A19&lt;=DATE(2026,7,31),9,IF($A19&lt;=DATE(2027,7,31),7.5,6))))</f>
        <v>8.5499999999999989</v>
      </c>
      <c r="F19" s="4">
        <f>IF($A19="","",(IF($C19="",Inputs!$B$22,$C19))*$E19)</f>
        <v>19596756.617198832</v>
      </c>
      <c r="G19" s="4">
        <f>IF($A19="","",Inputs!$B$4+IF(AND(Inputs!$B$6&lt;&gt;"",$A19&gt;=EOMONTH(Inputs!$B$6,0)),Inputs!$B$5,0))</f>
        <v>10000000</v>
      </c>
      <c r="H19" s="4">
        <f t="shared" si="7"/>
        <v>6000000</v>
      </c>
      <c r="I19" s="4"/>
      <c r="J19" s="4"/>
      <c r="K19" s="4">
        <f t="shared" si="10"/>
        <v>6000000</v>
      </c>
      <c r="L19" s="5">
        <f>IF($A19="","",MAX(Inputs!$B$14,(IF($B19="",Inputs!$B$20,$B19)+Inputs!$B$12)))</f>
        <v>0.08</v>
      </c>
      <c r="M19" s="4">
        <f t="shared" si="0"/>
        <v>40000</v>
      </c>
      <c r="N19" s="4">
        <f t="shared" si="1"/>
        <v>4000000</v>
      </c>
      <c r="O19" s="4">
        <f>IF($A19="","",$N19*Inputs!$B$15/12)</f>
        <v>833.33333333333337</v>
      </c>
      <c r="P19" s="4">
        <f>IF($A19="","",SUM(IF($A19=EOMONTH(Inputs!$B$3,0),Inputs!$B$4*Inputs!$B$16,0),IF(Inputs!$B$3="",0,IF($A19=EOMONTH(Inputs!$B$3,12),Inputs!$B$4*Inputs!$B$16,0)),IF(Inputs!$B$3="",0,IF($A19=EOMONTH(Inputs!$B$3,24),Inputs!$B$4*Inputs!$B$16,0))))</f>
        <v>0</v>
      </c>
      <c r="Q19" s="4">
        <f>IF($A19="","",IF(AND(Inputs!$B$18&lt;&gt;"",$A19=EOMONTH(Inputs!$B$18,0),Inputs!$B$18&lt;=Inputs!$B$23),Inputs!$B$4*Inputs!$B$17,0))</f>
        <v>0</v>
      </c>
      <c r="R19" s="4">
        <f t="shared" si="8"/>
        <v>0</v>
      </c>
      <c r="S19" s="4"/>
      <c r="T19" s="4">
        <f>IF($A19="","",IF(OR(Inputs!$B$27="",Inputs!$B$28=""),0,IF($A19&lt;Inputs!$B$27,0,IF($A19&gt;Inputs!$B$29,0,$R19/MAX(1,Inputs!$B$28-DATEDIF(Inputs!$B$27,$A19,"m"))))))</f>
        <v>0</v>
      </c>
      <c r="U19" s="4"/>
      <c r="V19" s="4">
        <f t="shared" si="2"/>
        <v>0</v>
      </c>
      <c r="W19" s="5">
        <f>IF($A19="","",MAX(Inputs!$B$14,(IF($B19="",Inputs!$B$20,$B19)+Inputs!$B$13)))</f>
        <v>8.249999999999999E-2</v>
      </c>
      <c r="X19" s="4">
        <f t="shared" si="3"/>
        <v>0</v>
      </c>
      <c r="Y19" s="4">
        <f>IF($A19="","",IF(AND(IF($U19="",0,$U19)&gt;0,Inputs!$B$24&lt;&gt;"",$A19&lt;=EOMONTH(Inputs!$B$24,0)),IF($U19="",0,$U19)*Inputs!$B$19,0))</f>
        <v>0</v>
      </c>
      <c r="Z19" s="4">
        <f t="shared" si="4"/>
        <v>0</v>
      </c>
      <c r="AA19" s="4">
        <f t="shared" si="5"/>
        <v>40833.333333333336</v>
      </c>
      <c r="AB19" s="4">
        <f t="shared" si="6"/>
        <v>-40833.333333333336</v>
      </c>
      <c r="AC19" s="4">
        <f>IF($A19="","",SUM($AB$2:$AB19))</f>
        <v>5361875.0000000037</v>
      </c>
    </row>
    <row r="20" spans="1:29" x14ac:dyDescent="0.45">
      <c r="A20" s="3">
        <f>IF(OR($A19="",AND(Inputs!$B$31&lt;&gt;"",EOMONTH($A19,1)&gt;Inputs!$B$31)),"",EOMONTH($A19,1))</f>
        <v>46112</v>
      </c>
      <c r="B20" s="5"/>
      <c r="C20" s="4">
        <f t="shared" si="9"/>
        <v>2406619.2336910851</v>
      </c>
      <c r="D20" s="5"/>
      <c r="E20" s="8">
        <f>IF($A20="","",MAX(0,(1-(IF($D20="",Inputs!$B$21,$D20)))*IF($A20&lt;=DATE(2026,7,31),9,IF($A20&lt;=DATE(2027,7,31),7.5,6))))</f>
        <v>8.5499999999999989</v>
      </c>
      <c r="F20" s="4">
        <f>IF($A20="","",(IF($C20="",Inputs!$B$22,$C20))*$E20)</f>
        <v>20576594.448058777</v>
      </c>
      <c r="G20" s="4">
        <f>IF($A20="","",Inputs!$B$4+IF(AND(Inputs!$B$6&lt;&gt;"",$A20&gt;=EOMONTH(Inputs!$B$6,0)),Inputs!$B$5,0))</f>
        <v>10000000</v>
      </c>
      <c r="H20" s="4">
        <f t="shared" si="7"/>
        <v>6000000</v>
      </c>
      <c r="I20" s="4"/>
      <c r="J20" s="4"/>
      <c r="K20" s="4">
        <f t="shared" si="10"/>
        <v>6000000</v>
      </c>
      <c r="L20" s="5">
        <f>IF($A20="","",MAX(Inputs!$B$14,(IF($B20="",Inputs!$B$20,$B20)+Inputs!$B$12)))</f>
        <v>0.08</v>
      </c>
      <c r="M20" s="4">
        <f t="shared" si="0"/>
        <v>40000</v>
      </c>
      <c r="N20" s="4">
        <f t="shared" si="1"/>
        <v>4000000</v>
      </c>
      <c r="O20" s="4">
        <f>IF($A20="","",$N20*Inputs!$B$15/12)</f>
        <v>833.33333333333337</v>
      </c>
      <c r="P20" s="4">
        <f>IF($A20="","",SUM(IF($A20=EOMONTH(Inputs!$B$3,0),Inputs!$B$4*Inputs!$B$16,0),IF(Inputs!$B$3="",0,IF($A20=EOMONTH(Inputs!$B$3,12),Inputs!$B$4*Inputs!$B$16,0)),IF(Inputs!$B$3="",0,IF($A20=EOMONTH(Inputs!$B$3,24),Inputs!$B$4*Inputs!$B$16,0))))</f>
        <v>0</v>
      </c>
      <c r="Q20" s="4">
        <f>IF($A20="","",IF(AND(Inputs!$B$18&lt;&gt;"",$A20=EOMONTH(Inputs!$B$18,0),Inputs!$B$18&lt;=Inputs!$B$23),Inputs!$B$4*Inputs!$B$17,0))</f>
        <v>0</v>
      </c>
      <c r="R20" s="4">
        <f t="shared" si="8"/>
        <v>0</v>
      </c>
      <c r="S20" s="4"/>
      <c r="T20" s="4">
        <f>IF($A20="","",IF(OR(Inputs!$B$27="",Inputs!$B$28=""),0,IF($A20&lt;Inputs!$B$27,0,IF($A20&gt;Inputs!$B$29,0,$R20/MAX(1,Inputs!$B$28-DATEDIF(Inputs!$B$27,$A20,"m"))))))</f>
        <v>0</v>
      </c>
      <c r="U20" s="4"/>
      <c r="V20" s="4">
        <f t="shared" si="2"/>
        <v>0</v>
      </c>
      <c r="W20" s="5">
        <f>IF($A20="","",MAX(Inputs!$B$14,(IF($B20="",Inputs!$B$20,$B20)+Inputs!$B$13)))</f>
        <v>8.249999999999999E-2</v>
      </c>
      <c r="X20" s="4">
        <f t="shared" si="3"/>
        <v>0</v>
      </c>
      <c r="Y20" s="4">
        <f>IF($A20="","",IF(AND(IF($U20="",0,$U20)&gt;0,Inputs!$B$24&lt;&gt;"",$A20&lt;=EOMONTH(Inputs!$B$24,0)),IF($U20="",0,$U20)*Inputs!$B$19,0))</f>
        <v>0</v>
      </c>
      <c r="Z20" s="4">
        <f t="shared" si="4"/>
        <v>0</v>
      </c>
      <c r="AA20" s="4">
        <f t="shared" si="5"/>
        <v>40833.333333333336</v>
      </c>
      <c r="AB20" s="4">
        <f t="shared" si="6"/>
        <v>-40833.333333333336</v>
      </c>
      <c r="AC20" s="4">
        <f>IF($A20="","",SUM($AB$2:$AB20))</f>
        <v>5321041.6666666707</v>
      </c>
    </row>
    <row r="21" spans="1:29" x14ac:dyDescent="0.45">
      <c r="A21" s="3">
        <f>IF(OR($A20="",AND(Inputs!$B$31&lt;&gt;"",EOMONTH($A20,1)&gt;Inputs!$B$31)),"",EOMONTH($A20,1))</f>
        <v>46142</v>
      </c>
      <c r="B21" s="5"/>
      <c r="C21" s="4">
        <f t="shared" si="9"/>
        <v>2526950.1953756395</v>
      </c>
      <c r="D21" s="5"/>
      <c r="E21" s="8">
        <f>IF($A21="","",MAX(0,(1-(IF($D21="",Inputs!$B$21,$D21)))*IF($A21&lt;=DATE(2026,7,31),9,IF($A21&lt;=DATE(2027,7,31),7.5,6))))</f>
        <v>8.5499999999999989</v>
      </c>
      <c r="F21" s="4">
        <f>IF($A21="","",(IF($C21="",Inputs!$B$22,$C21))*$E21)</f>
        <v>21605424.170461714</v>
      </c>
      <c r="G21" s="4">
        <f>IF($A21="","",Inputs!$B$4+IF(AND(Inputs!$B$6&lt;&gt;"",$A21&gt;=EOMONTH(Inputs!$B$6,0)),Inputs!$B$5,0))</f>
        <v>10000000</v>
      </c>
      <c r="H21" s="4">
        <f t="shared" si="7"/>
        <v>6000000</v>
      </c>
      <c r="I21" s="4"/>
      <c r="J21" s="4"/>
      <c r="K21" s="4">
        <f t="shared" si="10"/>
        <v>6000000</v>
      </c>
      <c r="L21" s="5">
        <f>IF($A21="","",MAX(Inputs!$B$14,(IF($B21="",Inputs!$B$20,$B21)+Inputs!$B$12)))</f>
        <v>0.08</v>
      </c>
      <c r="M21" s="4">
        <f t="shared" si="0"/>
        <v>40000</v>
      </c>
      <c r="N21" s="4">
        <f t="shared" si="1"/>
        <v>4000000</v>
      </c>
      <c r="O21" s="4">
        <f>IF($A21="","",$N21*Inputs!$B$15/12)</f>
        <v>833.33333333333337</v>
      </c>
      <c r="P21" s="4">
        <f>IF($A21="","",SUM(IF($A21=EOMONTH(Inputs!$B$3,0),Inputs!$B$4*Inputs!$B$16,0),IF(Inputs!$B$3="",0,IF($A21=EOMONTH(Inputs!$B$3,12),Inputs!$B$4*Inputs!$B$16,0)),IF(Inputs!$B$3="",0,IF($A21=EOMONTH(Inputs!$B$3,24),Inputs!$B$4*Inputs!$B$16,0))))</f>
        <v>0</v>
      </c>
      <c r="Q21" s="4">
        <f>IF($A21="","",IF(AND(Inputs!$B$18&lt;&gt;"",$A21=EOMONTH(Inputs!$B$18,0),Inputs!$B$18&lt;=Inputs!$B$23),Inputs!$B$4*Inputs!$B$17,0))</f>
        <v>0</v>
      </c>
      <c r="R21" s="4">
        <f t="shared" si="8"/>
        <v>0</v>
      </c>
      <c r="S21" s="4"/>
      <c r="T21" s="4">
        <f>IF($A21="","",IF(OR(Inputs!$B$27="",Inputs!$B$28=""),0,IF($A21&lt;Inputs!$B$27,0,IF($A21&gt;Inputs!$B$29,0,$R21/MAX(1,Inputs!$B$28-DATEDIF(Inputs!$B$27,$A21,"m"))))))</f>
        <v>0</v>
      </c>
      <c r="U21" s="4"/>
      <c r="V21" s="4">
        <f t="shared" si="2"/>
        <v>0</v>
      </c>
      <c r="W21" s="5">
        <f>IF($A21="","",MAX(Inputs!$B$14,(IF($B21="",Inputs!$B$20,$B21)+Inputs!$B$13)))</f>
        <v>8.249999999999999E-2</v>
      </c>
      <c r="X21" s="4">
        <f t="shared" si="3"/>
        <v>0</v>
      </c>
      <c r="Y21" s="4">
        <f>IF($A21="","",IF(AND(IF($U21="",0,$U21)&gt;0,Inputs!$B$24&lt;&gt;"",$A21&lt;=EOMONTH(Inputs!$B$24,0)),IF($U21="",0,$U21)*Inputs!$B$19,0))</f>
        <v>0</v>
      </c>
      <c r="Z21" s="4">
        <f t="shared" si="4"/>
        <v>0</v>
      </c>
      <c r="AA21" s="4">
        <f t="shared" si="5"/>
        <v>40833.333333333336</v>
      </c>
      <c r="AB21" s="4">
        <f t="shared" si="6"/>
        <v>-40833.333333333336</v>
      </c>
      <c r="AC21" s="4">
        <f>IF($A21="","",SUM($AB$2:$AB21))</f>
        <v>5280208.3333333377</v>
      </c>
    </row>
    <row r="22" spans="1:29" x14ac:dyDescent="0.45">
      <c r="A22" s="3">
        <f>IF(OR($A21="",AND(Inputs!$B$31&lt;&gt;"",EOMONTH($A21,1)&gt;Inputs!$B$31)),"",EOMONTH($A21,1))</f>
        <v>46173</v>
      </c>
      <c r="B22" s="5"/>
      <c r="C22" s="4">
        <f t="shared" si="9"/>
        <v>2653297.7051444217</v>
      </c>
      <c r="D22" s="5"/>
      <c r="E22" s="8">
        <f>IF($A22="","",MAX(0,(1-(IF($D22="",Inputs!$B$21,$D22)))*IF($A22&lt;=DATE(2026,7,31),9,IF($A22&lt;=DATE(2027,7,31),7.5,6))))</f>
        <v>8.5499999999999989</v>
      </c>
      <c r="F22" s="4">
        <f>IF($A22="","",(IF($C22="",Inputs!$B$22,$C22))*$E22)</f>
        <v>22685695.378984801</v>
      </c>
      <c r="G22" s="4">
        <f>IF($A22="","",Inputs!$B$4+IF(AND(Inputs!$B$6&lt;&gt;"",$A22&gt;=EOMONTH(Inputs!$B$6,0)),Inputs!$B$5,0))</f>
        <v>10000000</v>
      </c>
      <c r="H22" s="4">
        <f t="shared" si="7"/>
        <v>6000000</v>
      </c>
      <c r="I22" s="4"/>
      <c r="J22" s="4"/>
      <c r="K22" s="4">
        <f t="shared" si="10"/>
        <v>6000000</v>
      </c>
      <c r="L22" s="5">
        <f>IF($A22="","",MAX(Inputs!$B$14,(IF($B22="",Inputs!$B$20,$B22)+Inputs!$B$12)))</f>
        <v>0.08</v>
      </c>
      <c r="M22" s="4">
        <f t="shared" si="0"/>
        <v>40000</v>
      </c>
      <c r="N22" s="4">
        <f t="shared" si="1"/>
        <v>4000000</v>
      </c>
      <c r="O22" s="4">
        <f>IF($A22="","",$N22*Inputs!$B$15/12)</f>
        <v>833.33333333333337</v>
      </c>
      <c r="P22" s="4">
        <f>IF($A22="","",SUM(IF($A22=EOMONTH(Inputs!$B$3,0),Inputs!$B$4*Inputs!$B$16,0),IF(Inputs!$B$3="",0,IF($A22=EOMONTH(Inputs!$B$3,12),Inputs!$B$4*Inputs!$B$16,0)),IF(Inputs!$B$3="",0,IF($A22=EOMONTH(Inputs!$B$3,24),Inputs!$B$4*Inputs!$B$16,0))))</f>
        <v>0</v>
      </c>
      <c r="Q22" s="4">
        <f>IF($A22="","",IF(AND(Inputs!$B$18&lt;&gt;"",$A22=EOMONTH(Inputs!$B$18,0),Inputs!$B$18&lt;=Inputs!$B$23),Inputs!$B$4*Inputs!$B$17,0))</f>
        <v>0</v>
      </c>
      <c r="R22" s="4">
        <f t="shared" si="8"/>
        <v>0</v>
      </c>
      <c r="S22" s="4"/>
      <c r="T22" s="4">
        <f>IF($A22="","",IF(OR(Inputs!$B$27="",Inputs!$B$28=""),0,IF($A22&lt;Inputs!$B$27,0,IF($A22&gt;Inputs!$B$29,0,$R22/MAX(1,Inputs!$B$28-DATEDIF(Inputs!$B$27,$A22,"m"))))))</f>
        <v>0</v>
      </c>
      <c r="U22" s="4"/>
      <c r="V22" s="4">
        <f t="shared" si="2"/>
        <v>0</v>
      </c>
      <c r="W22" s="5">
        <f>IF($A22="","",MAX(Inputs!$B$14,(IF($B22="",Inputs!$B$20,$B22)+Inputs!$B$13)))</f>
        <v>8.249999999999999E-2</v>
      </c>
      <c r="X22" s="4">
        <f t="shared" si="3"/>
        <v>0</v>
      </c>
      <c r="Y22" s="4">
        <f>IF($A22="","",IF(AND(IF($U22="",0,$U22)&gt;0,Inputs!$B$24&lt;&gt;"",$A22&lt;=EOMONTH(Inputs!$B$24,0)),IF($U22="",0,$U22)*Inputs!$B$19,0))</f>
        <v>0</v>
      </c>
      <c r="Z22" s="4">
        <f t="shared" si="4"/>
        <v>0</v>
      </c>
      <c r="AA22" s="4">
        <f t="shared" si="5"/>
        <v>40833.333333333336</v>
      </c>
      <c r="AB22" s="4">
        <f t="shared" si="6"/>
        <v>-40833.333333333336</v>
      </c>
      <c r="AC22" s="4">
        <f>IF($A22="","",SUM($AB$2:$AB22))</f>
        <v>5239375.0000000047</v>
      </c>
    </row>
    <row r="23" spans="1:29" x14ac:dyDescent="0.45">
      <c r="A23" s="3">
        <f>IF(OR($A22="",AND(Inputs!$B$31&lt;&gt;"",EOMONTH($A22,1)&gt;Inputs!$B$31)),"",EOMONTH($A22,1))</f>
        <v>46203</v>
      </c>
      <c r="B23" s="5"/>
      <c r="C23" s="4">
        <f t="shared" si="9"/>
        <v>2785962.590401643</v>
      </c>
      <c r="D23" s="5"/>
      <c r="E23" s="8">
        <f>IF($A23="","",MAX(0,(1-(IF($D23="",Inputs!$B$21,$D23)))*IF($A23&lt;=DATE(2026,7,31),9,IF($A23&lt;=DATE(2027,7,31),7.5,6))))</f>
        <v>8.5499999999999989</v>
      </c>
      <c r="F23" s="4">
        <f>IF($A23="","",(IF($C23="",Inputs!$B$22,$C23))*$E23)</f>
        <v>23819980.147934046</v>
      </c>
      <c r="G23" s="4">
        <f>IF($A23="","",Inputs!$B$4+IF(AND(Inputs!$B$6&lt;&gt;"",$A23&gt;=EOMONTH(Inputs!$B$6,0)),Inputs!$B$5,0))</f>
        <v>10000000</v>
      </c>
      <c r="H23" s="4">
        <f t="shared" si="7"/>
        <v>6000000</v>
      </c>
      <c r="I23" s="4"/>
      <c r="J23" s="4"/>
      <c r="K23" s="4">
        <f t="shared" si="10"/>
        <v>6000000</v>
      </c>
      <c r="L23" s="5">
        <f>IF($A23="","",MAX(Inputs!$B$14,(IF($B23="",Inputs!$B$20,$B23)+Inputs!$B$12)))</f>
        <v>0.08</v>
      </c>
      <c r="M23" s="4">
        <f t="shared" si="0"/>
        <v>40000</v>
      </c>
      <c r="N23" s="4">
        <f t="shared" si="1"/>
        <v>4000000</v>
      </c>
      <c r="O23" s="4">
        <f>IF($A23="","",$N23*Inputs!$B$15/12)</f>
        <v>833.33333333333337</v>
      </c>
      <c r="P23" s="4">
        <f>IF($A23="","",SUM(IF($A23=EOMONTH(Inputs!$B$3,0),Inputs!$B$4*Inputs!$B$16,0),IF(Inputs!$B$3="",0,IF($A23=EOMONTH(Inputs!$B$3,12),Inputs!$B$4*Inputs!$B$16,0)),IF(Inputs!$B$3="",0,IF($A23=EOMONTH(Inputs!$B$3,24),Inputs!$B$4*Inputs!$B$16,0))))</f>
        <v>0</v>
      </c>
      <c r="Q23" s="4">
        <f>IF($A23="","",IF(AND(Inputs!$B$18&lt;&gt;"",$A23=EOMONTH(Inputs!$B$18,0),Inputs!$B$18&lt;=Inputs!$B$23),Inputs!$B$4*Inputs!$B$17,0))</f>
        <v>0</v>
      </c>
      <c r="R23" s="4">
        <f t="shared" si="8"/>
        <v>0</v>
      </c>
      <c r="S23" s="4"/>
      <c r="T23" s="4">
        <f>IF($A23="","",IF(OR(Inputs!$B$27="",Inputs!$B$28=""),0,IF($A23&lt;Inputs!$B$27,0,IF($A23&gt;Inputs!$B$29,0,$R23/MAX(1,Inputs!$B$28-DATEDIF(Inputs!$B$27,$A23,"m"))))))</f>
        <v>0</v>
      </c>
      <c r="U23" s="4"/>
      <c r="V23" s="4">
        <f t="shared" si="2"/>
        <v>0</v>
      </c>
      <c r="W23" s="5">
        <f>IF($A23="","",MAX(Inputs!$B$14,(IF($B23="",Inputs!$B$20,$B23)+Inputs!$B$13)))</f>
        <v>8.249999999999999E-2</v>
      </c>
      <c r="X23" s="4">
        <f t="shared" si="3"/>
        <v>0</v>
      </c>
      <c r="Y23" s="4">
        <f>IF($A23="","",IF(AND(IF($U23="",0,$U23)&gt;0,Inputs!$B$24&lt;&gt;"",$A23&lt;=EOMONTH(Inputs!$B$24,0)),IF($U23="",0,$U23)*Inputs!$B$19,0))</f>
        <v>0</v>
      </c>
      <c r="Z23" s="4">
        <f t="shared" si="4"/>
        <v>0</v>
      </c>
      <c r="AA23" s="4">
        <f t="shared" si="5"/>
        <v>40833.333333333336</v>
      </c>
      <c r="AB23" s="4">
        <f t="shared" si="6"/>
        <v>-40833.333333333336</v>
      </c>
      <c r="AC23" s="4">
        <f>IF($A23="","",SUM($AB$2:$AB23))</f>
        <v>5198541.6666666716</v>
      </c>
    </row>
    <row r="24" spans="1:29" x14ac:dyDescent="0.45">
      <c r="A24" s="3">
        <f>IF(OR($A23="",AND(Inputs!$B$31&lt;&gt;"",EOMONTH($A23,1)&gt;Inputs!$B$31)),"",EOMONTH($A23,1))</f>
        <v>46234</v>
      </c>
      <c r="B24" s="5"/>
      <c r="C24" s="4">
        <f t="shared" si="9"/>
        <v>2925260.7199217253</v>
      </c>
      <c r="D24" s="5"/>
      <c r="E24" s="8">
        <f>IF($A24="","",MAX(0,(1-(IF($D24="",Inputs!$B$21,$D24)))*IF($A24&lt;=DATE(2026,7,31),9,IF($A24&lt;=DATE(2027,7,31),7.5,6))))</f>
        <v>8.5499999999999989</v>
      </c>
      <c r="F24" s="4">
        <f>IF($A24="","",(IF($C24="",Inputs!$B$22,$C24))*$E24)</f>
        <v>25010979.155330747</v>
      </c>
      <c r="G24" s="4">
        <f>IF($A24="","",Inputs!$B$4+IF(AND(Inputs!$B$6&lt;&gt;"",$A24&gt;=EOMONTH(Inputs!$B$6,0)),Inputs!$B$5,0))</f>
        <v>10000000</v>
      </c>
      <c r="H24" s="4">
        <f t="shared" si="7"/>
        <v>6000000</v>
      </c>
      <c r="I24" s="4"/>
      <c r="J24" s="4"/>
      <c r="K24" s="4">
        <f t="shared" si="10"/>
        <v>6000000</v>
      </c>
      <c r="L24" s="5">
        <f>IF($A24="","",MAX(Inputs!$B$14,(IF($B24="",Inputs!$B$20,$B24)+Inputs!$B$12)))</f>
        <v>0.08</v>
      </c>
      <c r="M24" s="4">
        <f t="shared" si="0"/>
        <v>40000</v>
      </c>
      <c r="N24" s="4">
        <f t="shared" si="1"/>
        <v>4000000</v>
      </c>
      <c r="O24" s="4">
        <f>IF($A24="","",$N24*Inputs!$B$15/12)</f>
        <v>833.33333333333337</v>
      </c>
      <c r="P24" s="4">
        <f>IF($A24="","",SUM(IF($A24=EOMONTH(Inputs!$B$3,0),Inputs!$B$4*Inputs!$B$16,0),IF(Inputs!$B$3="",0,IF($A24=EOMONTH(Inputs!$B$3,12),Inputs!$B$4*Inputs!$B$16,0)),IF(Inputs!$B$3="",0,IF($A24=EOMONTH(Inputs!$B$3,24),Inputs!$B$4*Inputs!$B$16,0))))</f>
        <v>0</v>
      </c>
      <c r="Q24" s="4">
        <f>IF($A24="","",IF(AND(Inputs!$B$18&lt;&gt;"",$A24=EOMONTH(Inputs!$B$18,0),Inputs!$B$18&lt;=Inputs!$B$23),Inputs!$B$4*Inputs!$B$17,0))</f>
        <v>0</v>
      </c>
      <c r="R24" s="4">
        <f t="shared" si="8"/>
        <v>0</v>
      </c>
      <c r="S24" s="4"/>
      <c r="T24" s="4">
        <f>IF($A24="","",IF(OR(Inputs!$B$27="",Inputs!$B$28=""),0,IF($A24&lt;Inputs!$B$27,0,IF($A24&gt;Inputs!$B$29,0,$R24/MAX(1,Inputs!$B$28-DATEDIF(Inputs!$B$27,$A24,"m"))))))</f>
        <v>0</v>
      </c>
      <c r="U24" s="4"/>
      <c r="V24" s="4">
        <f t="shared" si="2"/>
        <v>0</v>
      </c>
      <c r="W24" s="5">
        <f>IF($A24="","",MAX(Inputs!$B$14,(IF($B24="",Inputs!$B$20,$B24)+Inputs!$B$13)))</f>
        <v>8.249999999999999E-2</v>
      </c>
      <c r="X24" s="4">
        <f t="shared" si="3"/>
        <v>0</v>
      </c>
      <c r="Y24" s="4">
        <f>IF($A24="","",IF(AND(IF($U24="",0,$U24)&gt;0,Inputs!$B$24&lt;&gt;"",$A24&lt;=EOMONTH(Inputs!$B$24,0)),IF($U24="",0,$U24)*Inputs!$B$19,0))</f>
        <v>0</v>
      </c>
      <c r="Z24" s="4">
        <f t="shared" si="4"/>
        <v>0</v>
      </c>
      <c r="AA24" s="4">
        <f t="shared" si="5"/>
        <v>40833.333333333336</v>
      </c>
      <c r="AB24" s="4">
        <f t="shared" si="6"/>
        <v>-40833.333333333336</v>
      </c>
      <c r="AC24" s="4">
        <f>IF($A24="","",SUM($AB$2:$AB24))</f>
        <v>5157708.3333333386</v>
      </c>
    </row>
    <row r="25" spans="1:29" x14ac:dyDescent="0.45">
      <c r="A25" s="3">
        <f>IF(OR($A24="",AND(Inputs!$B$31&lt;&gt;"",EOMONTH($A24,1)&gt;Inputs!$B$31)),"",EOMONTH($A24,1))</f>
        <v>46265</v>
      </c>
      <c r="B25" s="5"/>
      <c r="C25" s="4"/>
      <c r="D25" s="5"/>
      <c r="E25" s="8">
        <f>IF($A25="","",MAX(0,(1-(IF($D25="",Inputs!$B$21,$D25)))*IF($A25&lt;=DATE(2026,7,31),9,IF($A25&lt;=DATE(2027,7,31),7.5,6))))</f>
        <v>7.125</v>
      </c>
      <c r="F25" s="4">
        <f>IF($A25="","",(IF($C25="",Inputs!$B$22,$C25))*$E25)</f>
        <v>0</v>
      </c>
      <c r="G25" s="4">
        <f>IF($A25="","",Inputs!$B$4+IF(AND(Inputs!$B$6&lt;&gt;"",$A25&gt;=EOMONTH(Inputs!$B$6,0)),Inputs!$B$5,0))</f>
        <v>10000000</v>
      </c>
      <c r="H25" s="4">
        <f t="shared" si="7"/>
        <v>6000000</v>
      </c>
      <c r="I25" s="4"/>
      <c r="J25" s="4"/>
      <c r="K25" s="4">
        <f t="shared" si="10"/>
        <v>0</v>
      </c>
      <c r="L25" s="5">
        <f>IF($A25="","",MAX(Inputs!$B$14,(IF($B25="",Inputs!$B$20,$B25)+Inputs!$B$12)))</f>
        <v>0.08</v>
      </c>
      <c r="M25" s="4">
        <f t="shared" si="0"/>
        <v>20000</v>
      </c>
      <c r="N25" s="4">
        <f t="shared" si="1"/>
        <v>10000000</v>
      </c>
      <c r="O25" s="4">
        <f>IF($A25="","",$N25*Inputs!$B$15/12)</f>
        <v>2083.3333333333335</v>
      </c>
      <c r="P25" s="4">
        <f>IF($A25="","",SUM(IF($A25=EOMONTH(Inputs!$B$3,0),Inputs!$B$4*Inputs!$B$16,0),IF(Inputs!$B$3="",0,IF($A25=EOMONTH(Inputs!$B$3,12),Inputs!$B$4*Inputs!$B$16,0)),IF(Inputs!$B$3="",0,IF($A25=EOMONTH(Inputs!$B$3,24),Inputs!$B$4*Inputs!$B$16,0))))</f>
        <v>0</v>
      </c>
      <c r="Q25" s="4">
        <f>IF($A25="","",IF(AND(Inputs!$B$18&lt;&gt;"",$A25=EOMONTH(Inputs!$B$18,0),Inputs!$B$18&lt;=Inputs!$B$23),Inputs!$B$4*Inputs!$B$17,0))</f>
        <v>0</v>
      </c>
      <c r="R25" s="4">
        <f t="shared" si="8"/>
        <v>0</v>
      </c>
      <c r="S25" s="4"/>
      <c r="T25" s="4">
        <f>IF($A25="","",IF(OR(Inputs!$B$27="",Inputs!$B$28=""),0,IF($A25&lt;Inputs!$B$27,0,IF($A25&gt;Inputs!$B$29,0,$R25/MAX(1,Inputs!$B$28-DATEDIF(Inputs!$B$27,$A25,"m"))))))</f>
        <v>0</v>
      </c>
      <c r="U25" s="4"/>
      <c r="V25" s="4">
        <f t="shared" si="2"/>
        <v>0</v>
      </c>
      <c r="W25" s="5">
        <f>IF($A25="","",MAX(Inputs!$B$14,(IF($B25="",Inputs!$B$20,$B25)+Inputs!$B$13)))</f>
        <v>8.249999999999999E-2</v>
      </c>
      <c r="X25" s="4">
        <f t="shared" si="3"/>
        <v>0</v>
      </c>
      <c r="Y25" s="4">
        <f>IF($A25="","",IF(AND(IF($U25="",0,$U25)&gt;0,Inputs!$B$24&lt;&gt;"",$A25&lt;=EOMONTH(Inputs!$B$24,0)),IF($U25="",0,$U25)*Inputs!$B$19,0))</f>
        <v>0</v>
      </c>
      <c r="Z25" s="4">
        <f t="shared" si="4"/>
        <v>0</v>
      </c>
      <c r="AA25" s="4">
        <f t="shared" si="5"/>
        <v>22083.333333333332</v>
      </c>
      <c r="AB25" s="4">
        <f t="shared" si="6"/>
        <v>-22083.333333333332</v>
      </c>
      <c r="AC25" s="4">
        <f>IF($A25="","",SUM($AB$2:$AB25))</f>
        <v>5135625.0000000056</v>
      </c>
    </row>
    <row r="26" spans="1:29" x14ac:dyDescent="0.45">
      <c r="A26" s="3">
        <f>IF(OR($A25="",AND(Inputs!$B$31&lt;&gt;"",EOMONTH($A25,1)&gt;Inputs!$B$31)),"",EOMONTH($A25,1))</f>
        <v>46295</v>
      </c>
      <c r="B26" s="5"/>
      <c r="C26" s="4"/>
      <c r="D26" s="5"/>
      <c r="E26" s="8">
        <f>IF($A26="","",MAX(0,(1-(IF($D26="",Inputs!$B$21,$D26)))*IF($A26&lt;=DATE(2026,7,31),9,IF($A26&lt;=DATE(2027,7,31),7.5,6))))</f>
        <v>7.125</v>
      </c>
      <c r="F26" s="4">
        <f>IF($A26="","",(IF($C26="",Inputs!$B$22,$C26))*$E26)</f>
        <v>0</v>
      </c>
      <c r="G26" s="4">
        <f>IF($A26="","",Inputs!$B$4+IF(AND(Inputs!$B$6&lt;&gt;"",$A26&gt;=EOMONTH(Inputs!$B$6,0)),Inputs!$B$5,0))</f>
        <v>10000000</v>
      </c>
      <c r="H26" s="4">
        <f t="shared" si="7"/>
        <v>0</v>
      </c>
      <c r="I26" s="4"/>
      <c r="J26" s="4"/>
      <c r="K26" s="4">
        <f t="shared" si="10"/>
        <v>0</v>
      </c>
      <c r="L26" s="5">
        <f>IF($A26="","",MAX(Inputs!$B$14,(IF($B26="",Inputs!$B$20,$B26)+Inputs!$B$12)))</f>
        <v>0.08</v>
      </c>
      <c r="M26" s="4">
        <f t="shared" si="0"/>
        <v>0</v>
      </c>
      <c r="N26" s="4">
        <f t="shared" si="1"/>
        <v>10000000</v>
      </c>
      <c r="O26" s="4">
        <f>IF($A26="","",$N26*Inputs!$B$15/12)</f>
        <v>2083.3333333333335</v>
      </c>
      <c r="P26" s="4">
        <f>IF($A26="","",SUM(IF($A26=EOMONTH(Inputs!$B$3,0),Inputs!$B$4*Inputs!$B$16,0),IF(Inputs!$B$3="",0,IF($A26=EOMONTH(Inputs!$B$3,12),Inputs!$B$4*Inputs!$B$16,0)),IF(Inputs!$B$3="",0,IF($A26=EOMONTH(Inputs!$B$3,24),Inputs!$B$4*Inputs!$B$16,0))))</f>
        <v>10000</v>
      </c>
      <c r="Q26" s="4">
        <f>IF($A26="","",IF(AND(Inputs!$B$18&lt;&gt;"",$A26=EOMONTH(Inputs!$B$18,0),Inputs!$B$18&lt;=Inputs!$B$23),Inputs!$B$4*Inputs!$B$17,0))</f>
        <v>0</v>
      </c>
      <c r="R26" s="4">
        <f t="shared" si="8"/>
        <v>0</v>
      </c>
      <c r="S26" s="4"/>
      <c r="T26" s="4">
        <f>IF($A26="","",IF(OR(Inputs!$B$27="",Inputs!$B$28=""),0,IF($A26&lt;Inputs!$B$27,0,IF($A26&gt;Inputs!$B$29,0,$R26/MAX(1,Inputs!$B$28-DATEDIF(Inputs!$B$27,$A26,"m"))))))</f>
        <v>0</v>
      </c>
      <c r="U26" s="4"/>
      <c r="V26" s="4">
        <f t="shared" si="2"/>
        <v>0</v>
      </c>
      <c r="W26" s="5">
        <f>IF($A26="","",MAX(Inputs!$B$14,(IF($B26="",Inputs!$B$20,$B26)+Inputs!$B$13)))</f>
        <v>8.249999999999999E-2</v>
      </c>
      <c r="X26" s="4">
        <f t="shared" si="3"/>
        <v>0</v>
      </c>
      <c r="Y26" s="4">
        <f>IF($A26="","",IF(AND(IF($U26="",0,$U26)&gt;0,Inputs!$B$24&lt;&gt;"",$A26&lt;=EOMONTH(Inputs!$B$24,0)),IF($U26="",0,$U26)*Inputs!$B$19,0))</f>
        <v>0</v>
      </c>
      <c r="Z26" s="4">
        <f t="shared" si="4"/>
        <v>0</v>
      </c>
      <c r="AA26" s="4">
        <f t="shared" si="5"/>
        <v>12083.333333333334</v>
      </c>
      <c r="AB26" s="4">
        <f t="shared" si="6"/>
        <v>-12083.333333333334</v>
      </c>
      <c r="AC26" s="4">
        <f>IF($A26="","",SUM($AB$2:$AB26))</f>
        <v>5123541.6666666726</v>
      </c>
    </row>
    <row r="27" spans="1:29" x14ac:dyDescent="0.45">
      <c r="A27" s="3">
        <f>IF(OR($A26="",AND(Inputs!$B$31&lt;&gt;"",EOMONTH($A26,1)&gt;Inputs!$B$31)),"",EOMONTH($A26,1))</f>
        <v>46326</v>
      </c>
      <c r="B27" s="5"/>
      <c r="C27" s="4"/>
      <c r="D27" s="5"/>
      <c r="E27" s="8">
        <f>IF($A27="","",MAX(0,(1-(IF($D27="",Inputs!$B$21,$D27)))*IF($A27&lt;=DATE(2026,7,31),9,IF($A27&lt;=DATE(2027,7,31),7.5,6))))</f>
        <v>7.125</v>
      </c>
      <c r="F27" s="4">
        <f>IF($A27="","",(IF($C27="",Inputs!$B$22,$C27))*$E27)</f>
        <v>0</v>
      </c>
      <c r="G27" s="4">
        <f>IF($A27="","",Inputs!$B$4+IF(AND(Inputs!$B$6&lt;&gt;"",$A27&gt;=EOMONTH(Inputs!$B$6,0)),Inputs!$B$5,0))</f>
        <v>10000000</v>
      </c>
      <c r="H27" s="4">
        <f t="shared" si="7"/>
        <v>0</v>
      </c>
      <c r="I27" s="4"/>
      <c r="J27" s="4"/>
      <c r="K27" s="4">
        <f t="shared" si="10"/>
        <v>0</v>
      </c>
      <c r="L27" s="5">
        <f>IF($A27="","",MAX(Inputs!$B$14,(IF($B27="",Inputs!$B$20,$B27)+Inputs!$B$12)))</f>
        <v>0.08</v>
      </c>
      <c r="M27" s="4">
        <f t="shared" si="0"/>
        <v>0</v>
      </c>
      <c r="N27" s="4">
        <f t="shared" si="1"/>
        <v>10000000</v>
      </c>
      <c r="O27" s="4">
        <f>IF($A27="","",$N27*Inputs!$B$15/12)</f>
        <v>2083.3333333333335</v>
      </c>
      <c r="P27" s="4">
        <f>IF($A27="","",SUM(IF($A27=EOMONTH(Inputs!$B$3,0),Inputs!$B$4*Inputs!$B$16,0),IF(Inputs!$B$3="",0,IF($A27=EOMONTH(Inputs!$B$3,12),Inputs!$B$4*Inputs!$B$16,0)),IF(Inputs!$B$3="",0,IF($A27=EOMONTH(Inputs!$B$3,24),Inputs!$B$4*Inputs!$B$16,0))))</f>
        <v>0</v>
      </c>
      <c r="Q27" s="4">
        <f>IF($A27="","",IF(AND(Inputs!$B$18&lt;&gt;"",$A27=EOMONTH(Inputs!$B$18,0),Inputs!$B$18&lt;=Inputs!$B$23),Inputs!$B$4*Inputs!$B$17,0))</f>
        <v>0</v>
      </c>
      <c r="R27" s="4">
        <f t="shared" si="8"/>
        <v>0</v>
      </c>
      <c r="S27" s="4"/>
      <c r="T27" s="4">
        <f>IF($A27="","",IF(OR(Inputs!$B$27="",Inputs!$B$28=""),0,IF($A27&lt;Inputs!$B$27,0,IF($A27&gt;Inputs!$B$29,0,$R27/MAX(1,Inputs!$B$28-DATEDIF(Inputs!$B$27,$A27,"m"))))))</f>
        <v>0</v>
      </c>
      <c r="U27" s="4"/>
      <c r="V27" s="4">
        <f t="shared" si="2"/>
        <v>0</v>
      </c>
      <c r="W27" s="5">
        <f>IF($A27="","",MAX(Inputs!$B$14,(IF($B27="",Inputs!$B$20,$B27)+Inputs!$B$13)))</f>
        <v>8.249999999999999E-2</v>
      </c>
      <c r="X27" s="4">
        <f t="shared" si="3"/>
        <v>0</v>
      </c>
      <c r="Y27" s="4">
        <f>IF($A27="","",IF(AND(IF($U27="",0,$U27)&gt;0,Inputs!$B$24&lt;&gt;"",$A27&lt;=EOMONTH(Inputs!$B$24,0)),IF($U27="",0,$U27)*Inputs!$B$19,0))</f>
        <v>0</v>
      </c>
      <c r="Z27" s="4">
        <f t="shared" si="4"/>
        <v>0</v>
      </c>
      <c r="AA27" s="4">
        <f t="shared" si="5"/>
        <v>2083.3333333333335</v>
      </c>
      <c r="AB27" s="4">
        <f t="shared" si="6"/>
        <v>-2083.3333333333335</v>
      </c>
      <c r="AC27" s="4">
        <f>IF($A27="","",SUM($AB$2:$AB27))</f>
        <v>5121458.3333333395</v>
      </c>
    </row>
    <row r="28" spans="1:29" x14ac:dyDescent="0.45">
      <c r="A28" s="3">
        <f>IF(OR($A27="",AND(Inputs!$B$31&lt;&gt;"",EOMONTH($A27,1)&gt;Inputs!$B$31)),"",EOMONTH($A27,1))</f>
        <v>46356</v>
      </c>
      <c r="B28" s="5"/>
      <c r="C28" s="4"/>
      <c r="D28" s="5"/>
      <c r="E28" s="8">
        <f>IF($A28="","",MAX(0,(1-(IF($D28="",Inputs!$B$21,$D28)))*IF($A28&lt;=DATE(2026,7,31),9,IF($A28&lt;=DATE(2027,7,31),7.5,6))))</f>
        <v>7.125</v>
      </c>
      <c r="F28" s="4">
        <f>IF($A28="","",(IF($C28="",Inputs!$B$22,$C28))*$E28)</f>
        <v>0</v>
      </c>
      <c r="G28" s="4">
        <f>IF($A28="","",Inputs!$B$4+IF(AND(Inputs!$B$6&lt;&gt;"",$A28&gt;=EOMONTH(Inputs!$B$6,0)),Inputs!$B$5,0))</f>
        <v>10000000</v>
      </c>
      <c r="H28" s="4">
        <f t="shared" si="7"/>
        <v>0</v>
      </c>
      <c r="I28" s="4"/>
      <c r="J28" s="4"/>
      <c r="K28" s="4">
        <f t="shared" si="10"/>
        <v>0</v>
      </c>
      <c r="L28" s="5">
        <f>IF($A28="","",MAX(Inputs!$B$14,(IF($B28="",Inputs!$B$20,$B28)+Inputs!$B$12)))</f>
        <v>0.08</v>
      </c>
      <c r="M28" s="4">
        <f t="shared" si="0"/>
        <v>0</v>
      </c>
      <c r="N28" s="4">
        <f t="shared" si="1"/>
        <v>10000000</v>
      </c>
      <c r="O28" s="4">
        <f>IF($A28="","",$N28*Inputs!$B$15/12)</f>
        <v>2083.3333333333335</v>
      </c>
      <c r="P28" s="4">
        <f>IF($A28="","",SUM(IF($A28=EOMONTH(Inputs!$B$3,0),Inputs!$B$4*Inputs!$B$16,0),IF(Inputs!$B$3="",0,IF($A28=EOMONTH(Inputs!$B$3,12),Inputs!$B$4*Inputs!$B$16,0)),IF(Inputs!$B$3="",0,IF($A28=EOMONTH(Inputs!$B$3,24),Inputs!$B$4*Inputs!$B$16,0))))</f>
        <v>0</v>
      </c>
      <c r="Q28" s="4">
        <f>IF($A28="","",IF(AND(Inputs!$B$18&lt;&gt;"",$A28=EOMONTH(Inputs!$B$18,0),Inputs!$B$18&lt;=Inputs!$B$23),Inputs!$B$4*Inputs!$B$17,0))</f>
        <v>0</v>
      </c>
      <c r="R28" s="4">
        <f t="shared" si="8"/>
        <v>0</v>
      </c>
      <c r="S28" s="4"/>
      <c r="T28" s="4">
        <f>IF($A28="","",IF(OR(Inputs!$B$27="",Inputs!$B$28=""),0,IF($A28&lt;Inputs!$B$27,0,IF($A28&gt;Inputs!$B$29,0,$R28/MAX(1,Inputs!$B$28-DATEDIF(Inputs!$B$27,$A28,"m"))))))</f>
        <v>0</v>
      </c>
      <c r="U28" s="4"/>
      <c r="V28" s="4">
        <f t="shared" si="2"/>
        <v>0</v>
      </c>
      <c r="W28" s="5">
        <f>IF($A28="","",MAX(Inputs!$B$14,(IF($B28="",Inputs!$B$20,$B28)+Inputs!$B$13)))</f>
        <v>8.249999999999999E-2</v>
      </c>
      <c r="X28" s="4">
        <f t="shared" si="3"/>
        <v>0</v>
      </c>
      <c r="Y28" s="4">
        <f>IF($A28="","",IF(AND(IF($U28="",0,$U28)&gt;0,Inputs!$B$24&lt;&gt;"",$A28&lt;=EOMONTH(Inputs!$B$24,0)),IF($U28="",0,$U28)*Inputs!$B$19,0))</f>
        <v>0</v>
      </c>
      <c r="Z28" s="4">
        <f t="shared" si="4"/>
        <v>0</v>
      </c>
      <c r="AA28" s="4">
        <f t="shared" si="5"/>
        <v>2083.3333333333335</v>
      </c>
      <c r="AB28" s="4">
        <f t="shared" si="6"/>
        <v>-2083.3333333333335</v>
      </c>
      <c r="AC28" s="4">
        <f>IF($A28="","",SUM($AB$2:$AB28))</f>
        <v>5119375.0000000065</v>
      </c>
    </row>
    <row r="29" spans="1:29" x14ac:dyDescent="0.45">
      <c r="A29" s="3">
        <f>IF(OR($A28="",AND(Inputs!$B$31&lt;&gt;"",EOMONTH($A28,1)&gt;Inputs!$B$31)),"",EOMONTH($A28,1))</f>
        <v>46387</v>
      </c>
      <c r="B29" s="5"/>
      <c r="C29" s="4"/>
      <c r="D29" s="5"/>
      <c r="E29" s="8">
        <f>IF($A29="","",MAX(0,(1-(IF($D29="",Inputs!$B$21,$D29)))*IF($A29&lt;=DATE(2026,7,31),9,IF($A29&lt;=DATE(2027,7,31),7.5,6))))</f>
        <v>7.125</v>
      </c>
      <c r="F29" s="4">
        <f>IF($A29="","",(IF($C29="",Inputs!$B$22,$C29))*$E29)</f>
        <v>0</v>
      </c>
      <c r="G29" s="4">
        <f>IF($A29="","",Inputs!$B$4+IF(AND(Inputs!$B$6&lt;&gt;"",$A29&gt;=EOMONTH(Inputs!$B$6,0)),Inputs!$B$5,0))</f>
        <v>10000000</v>
      </c>
      <c r="H29" s="4">
        <f t="shared" si="7"/>
        <v>0</v>
      </c>
      <c r="I29" s="4"/>
      <c r="J29" s="4"/>
      <c r="K29" s="4">
        <f t="shared" si="10"/>
        <v>0</v>
      </c>
      <c r="L29" s="5">
        <f>IF($A29="","",MAX(Inputs!$B$14,(IF($B29="",Inputs!$B$20,$B29)+Inputs!$B$12)))</f>
        <v>0.08</v>
      </c>
      <c r="M29" s="4">
        <f t="shared" si="0"/>
        <v>0</v>
      </c>
      <c r="N29" s="4">
        <f t="shared" si="1"/>
        <v>10000000</v>
      </c>
      <c r="O29" s="4">
        <f>IF($A29="","",$N29*Inputs!$B$15/12)</f>
        <v>2083.3333333333335</v>
      </c>
      <c r="P29" s="4">
        <f>IF($A29="","",SUM(IF($A29=EOMONTH(Inputs!$B$3,0),Inputs!$B$4*Inputs!$B$16,0),IF(Inputs!$B$3="",0,IF($A29=EOMONTH(Inputs!$B$3,12),Inputs!$B$4*Inputs!$B$16,0)),IF(Inputs!$B$3="",0,IF($A29=EOMONTH(Inputs!$B$3,24),Inputs!$B$4*Inputs!$B$16,0))))</f>
        <v>0</v>
      </c>
      <c r="Q29" s="4">
        <f>IF($A29="","",IF(AND(Inputs!$B$18&lt;&gt;"",$A29=EOMONTH(Inputs!$B$18,0),Inputs!$B$18&lt;=Inputs!$B$23),Inputs!$B$4*Inputs!$B$17,0))</f>
        <v>0</v>
      </c>
      <c r="R29" s="4">
        <f t="shared" si="8"/>
        <v>0</v>
      </c>
      <c r="S29" s="4"/>
      <c r="T29" s="4">
        <f>IF($A29="","",IF(OR(Inputs!$B$27="",Inputs!$B$28=""),0,IF($A29&lt;Inputs!$B$27,0,IF($A29&gt;Inputs!$B$29,0,$R29/MAX(1,Inputs!$B$28-DATEDIF(Inputs!$B$27,$A29,"m"))))))</f>
        <v>0</v>
      </c>
      <c r="U29" s="4"/>
      <c r="V29" s="4">
        <f t="shared" si="2"/>
        <v>0</v>
      </c>
      <c r="W29" s="5">
        <f>IF($A29="","",MAX(Inputs!$B$14,(IF($B29="",Inputs!$B$20,$B29)+Inputs!$B$13)))</f>
        <v>8.249999999999999E-2</v>
      </c>
      <c r="X29" s="4">
        <f t="shared" si="3"/>
        <v>0</v>
      </c>
      <c r="Y29" s="4">
        <f>IF($A29="","",IF(AND(IF($U29="",0,$U29)&gt;0,Inputs!$B$24&lt;&gt;"",$A29&lt;=EOMONTH(Inputs!$B$24,0)),IF($U29="",0,$U29)*Inputs!$B$19,0))</f>
        <v>0</v>
      </c>
      <c r="Z29" s="4">
        <f t="shared" si="4"/>
        <v>0</v>
      </c>
      <c r="AA29" s="4">
        <f t="shared" si="5"/>
        <v>2083.3333333333335</v>
      </c>
      <c r="AB29" s="4">
        <f t="shared" si="6"/>
        <v>-2083.3333333333335</v>
      </c>
      <c r="AC29" s="4">
        <f>IF($A29="","",SUM($AB$2:$AB29))</f>
        <v>5117291.6666666735</v>
      </c>
    </row>
    <row r="30" spans="1:29" x14ac:dyDescent="0.45">
      <c r="A30" s="3">
        <f>IF(OR($A29="",AND(Inputs!$B$31&lt;&gt;"",EOMONTH($A29,1)&gt;Inputs!$B$31)),"",EOMONTH($A29,1))</f>
        <v>46418</v>
      </c>
      <c r="B30" s="5"/>
      <c r="C30" s="4"/>
      <c r="D30" s="5"/>
      <c r="E30" s="8">
        <f>IF($A30="","",MAX(0,(1-(IF($D30="",Inputs!$B$21,$D30)))*IF($A30&lt;=DATE(2026,7,31),9,IF($A30&lt;=DATE(2027,7,31),7.5,6))))</f>
        <v>7.125</v>
      </c>
      <c r="F30" s="4">
        <f>IF($A30="","",(IF($C30="",Inputs!$B$22,$C30))*$E30)</f>
        <v>0</v>
      </c>
      <c r="G30" s="4">
        <f>IF($A30="","",Inputs!$B$4+IF(AND(Inputs!$B$6&lt;&gt;"",$A30&gt;=EOMONTH(Inputs!$B$6,0)),Inputs!$B$5,0))</f>
        <v>10000000</v>
      </c>
      <c r="H30" s="4">
        <f t="shared" si="7"/>
        <v>0</v>
      </c>
      <c r="I30" s="4"/>
      <c r="J30" s="4"/>
      <c r="K30" s="4">
        <f t="shared" si="10"/>
        <v>0</v>
      </c>
      <c r="L30" s="5">
        <f>IF($A30="","",MAX(Inputs!$B$14,(IF($B30="",Inputs!$B$20,$B30)+Inputs!$B$12)))</f>
        <v>0.08</v>
      </c>
      <c r="M30" s="4">
        <f t="shared" si="0"/>
        <v>0</v>
      </c>
      <c r="N30" s="4">
        <f t="shared" si="1"/>
        <v>10000000</v>
      </c>
      <c r="O30" s="4">
        <f>IF($A30="","",$N30*Inputs!$B$15/12)</f>
        <v>2083.3333333333335</v>
      </c>
      <c r="P30" s="4">
        <f>IF($A30="","",SUM(IF($A30=EOMONTH(Inputs!$B$3,0),Inputs!$B$4*Inputs!$B$16,0),IF(Inputs!$B$3="",0,IF($A30=EOMONTH(Inputs!$B$3,12),Inputs!$B$4*Inputs!$B$16,0)),IF(Inputs!$B$3="",0,IF($A30=EOMONTH(Inputs!$B$3,24),Inputs!$B$4*Inputs!$B$16,0))))</f>
        <v>0</v>
      </c>
      <c r="Q30" s="4">
        <f>IF($A30="","",IF(AND(Inputs!$B$18&lt;&gt;"",$A30=EOMONTH(Inputs!$B$18,0),Inputs!$B$18&lt;=Inputs!$B$23),Inputs!$B$4*Inputs!$B$17,0))</f>
        <v>0</v>
      </c>
      <c r="R30" s="4">
        <f t="shared" si="8"/>
        <v>0</v>
      </c>
      <c r="S30" s="4"/>
      <c r="T30" s="4">
        <f>IF($A30="","",IF(OR(Inputs!$B$27="",Inputs!$B$28=""),0,IF($A30&lt;Inputs!$B$27,0,IF($A30&gt;Inputs!$B$29,0,$R30/MAX(1,Inputs!$B$28-DATEDIF(Inputs!$B$27,$A30,"m"))))))</f>
        <v>0</v>
      </c>
      <c r="U30" s="4"/>
      <c r="V30" s="4">
        <f t="shared" si="2"/>
        <v>0</v>
      </c>
      <c r="W30" s="5">
        <f>IF($A30="","",MAX(Inputs!$B$14,(IF($B30="",Inputs!$B$20,$B30)+Inputs!$B$13)))</f>
        <v>8.249999999999999E-2</v>
      </c>
      <c r="X30" s="4">
        <f t="shared" si="3"/>
        <v>0</v>
      </c>
      <c r="Y30" s="4">
        <f>IF($A30="","",IF(AND(IF($U30="",0,$U30)&gt;0,Inputs!$B$24&lt;&gt;"",$A30&lt;=EOMONTH(Inputs!$B$24,0)),IF($U30="",0,$U30)*Inputs!$B$19,0))</f>
        <v>0</v>
      </c>
      <c r="Z30" s="4">
        <f t="shared" si="4"/>
        <v>0</v>
      </c>
      <c r="AA30" s="4">
        <f t="shared" si="5"/>
        <v>2083.3333333333335</v>
      </c>
      <c r="AB30" s="4">
        <f t="shared" si="6"/>
        <v>-2083.3333333333335</v>
      </c>
      <c r="AC30" s="4">
        <f>IF($A30="","",SUM($AB$2:$AB30))</f>
        <v>5115208.3333333405</v>
      </c>
    </row>
    <row r="31" spans="1:29" x14ac:dyDescent="0.45">
      <c r="A31" s="3">
        <f>IF(OR($A30="",AND(Inputs!$B$31&lt;&gt;"",EOMONTH($A30,1)&gt;Inputs!$B$31)),"",EOMONTH($A30,1))</f>
        <v>46446</v>
      </c>
      <c r="B31" s="5"/>
      <c r="C31" s="4"/>
      <c r="D31" s="5"/>
      <c r="E31" s="8">
        <f>IF($A31="","",MAX(0,(1-(IF($D31="",Inputs!$B$21,$D31)))*IF($A31&lt;=DATE(2026,7,31),9,IF($A31&lt;=DATE(2027,7,31),7.5,6))))</f>
        <v>7.125</v>
      </c>
      <c r="F31" s="4">
        <f>IF($A31="","",(IF($C31="",Inputs!$B$22,$C31))*$E31)</f>
        <v>0</v>
      </c>
      <c r="G31" s="4">
        <f>IF($A31="","",Inputs!$B$4+IF(AND(Inputs!$B$6&lt;&gt;"",$A31&gt;=EOMONTH(Inputs!$B$6,0)),Inputs!$B$5,0))</f>
        <v>10000000</v>
      </c>
      <c r="H31" s="4">
        <f t="shared" si="7"/>
        <v>0</v>
      </c>
      <c r="I31" s="4"/>
      <c r="J31" s="4"/>
      <c r="K31" s="4">
        <f t="shared" si="10"/>
        <v>0</v>
      </c>
      <c r="L31" s="5">
        <f>IF($A31="","",MAX(Inputs!$B$14,(IF($B31="",Inputs!$B$20,$B31)+Inputs!$B$12)))</f>
        <v>0.08</v>
      </c>
      <c r="M31" s="4">
        <f t="shared" si="0"/>
        <v>0</v>
      </c>
      <c r="N31" s="4">
        <f t="shared" si="1"/>
        <v>10000000</v>
      </c>
      <c r="O31" s="4">
        <f>IF($A31="","",$N31*Inputs!$B$15/12)</f>
        <v>2083.3333333333335</v>
      </c>
      <c r="P31" s="4">
        <f>IF($A31="","",SUM(IF($A31=EOMONTH(Inputs!$B$3,0),Inputs!$B$4*Inputs!$B$16,0),IF(Inputs!$B$3="",0,IF($A31=EOMONTH(Inputs!$B$3,12),Inputs!$B$4*Inputs!$B$16,0)),IF(Inputs!$B$3="",0,IF($A31=EOMONTH(Inputs!$B$3,24),Inputs!$B$4*Inputs!$B$16,0))))</f>
        <v>0</v>
      </c>
      <c r="Q31" s="4">
        <f>IF($A31="","",IF(AND(Inputs!$B$18&lt;&gt;"",$A31=EOMONTH(Inputs!$B$18,0),Inputs!$B$18&lt;=Inputs!$B$23),Inputs!$B$4*Inputs!$B$17,0))</f>
        <v>0</v>
      </c>
      <c r="R31" s="4">
        <f t="shared" si="8"/>
        <v>0</v>
      </c>
      <c r="S31" s="4"/>
      <c r="T31" s="4">
        <f>IF($A31="","",IF(OR(Inputs!$B$27="",Inputs!$B$28=""),0,IF($A31&lt;Inputs!$B$27,0,IF($A31&gt;Inputs!$B$29,0,$R31/MAX(1,Inputs!$B$28-DATEDIF(Inputs!$B$27,$A31,"m"))))))</f>
        <v>0</v>
      </c>
      <c r="U31" s="4"/>
      <c r="V31" s="4">
        <f t="shared" si="2"/>
        <v>0</v>
      </c>
      <c r="W31" s="5">
        <f>IF($A31="","",MAX(Inputs!$B$14,(IF($B31="",Inputs!$B$20,$B31)+Inputs!$B$13)))</f>
        <v>8.249999999999999E-2</v>
      </c>
      <c r="X31" s="4">
        <f t="shared" si="3"/>
        <v>0</v>
      </c>
      <c r="Y31" s="4">
        <f>IF($A31="","",IF(AND(IF($U31="",0,$U31)&gt;0,Inputs!$B$24&lt;&gt;"",$A31&lt;=EOMONTH(Inputs!$B$24,0)),IF($U31="",0,$U31)*Inputs!$B$19,0))</f>
        <v>0</v>
      </c>
      <c r="Z31" s="4">
        <f t="shared" si="4"/>
        <v>0</v>
      </c>
      <c r="AA31" s="4">
        <f t="shared" si="5"/>
        <v>2083.3333333333335</v>
      </c>
      <c r="AB31" s="4">
        <f t="shared" si="6"/>
        <v>-2083.3333333333335</v>
      </c>
      <c r="AC31" s="4">
        <f>IF($A31="","",SUM($AB$2:$AB31))</f>
        <v>5113125.0000000075</v>
      </c>
    </row>
    <row r="32" spans="1:29" x14ac:dyDescent="0.45">
      <c r="A32" s="3">
        <f>IF(OR($A31="",AND(Inputs!$B$31&lt;&gt;"",EOMONTH($A31,1)&gt;Inputs!$B$31)),"",EOMONTH($A31,1))</f>
        <v>46477</v>
      </c>
      <c r="B32" s="5"/>
      <c r="C32" s="4"/>
      <c r="D32" s="5"/>
      <c r="E32" s="8">
        <f>IF($A32="","",MAX(0,(1-(IF($D32="",Inputs!$B$21,$D32)))*IF($A32&lt;=DATE(2026,7,31),9,IF($A32&lt;=DATE(2027,7,31),7.5,6))))</f>
        <v>7.125</v>
      </c>
      <c r="F32" s="4">
        <f>IF($A32="","",(IF($C32="",Inputs!$B$22,$C32))*$E32)</f>
        <v>0</v>
      </c>
      <c r="G32" s="4">
        <f>IF($A32="","",Inputs!$B$4+IF(AND(Inputs!$B$6&lt;&gt;"",$A32&gt;=EOMONTH(Inputs!$B$6,0)),Inputs!$B$5,0))</f>
        <v>10000000</v>
      </c>
      <c r="H32" s="4">
        <f t="shared" si="7"/>
        <v>0</v>
      </c>
      <c r="I32" s="4"/>
      <c r="J32" s="4"/>
      <c r="K32" s="4">
        <f t="shared" si="10"/>
        <v>0</v>
      </c>
      <c r="L32" s="5">
        <f>IF($A32="","",MAX(Inputs!$B$14,(IF($B32="",Inputs!$B$20,$B32)+Inputs!$B$12)))</f>
        <v>0.08</v>
      </c>
      <c r="M32" s="4">
        <f t="shared" si="0"/>
        <v>0</v>
      </c>
      <c r="N32" s="4">
        <f t="shared" si="1"/>
        <v>10000000</v>
      </c>
      <c r="O32" s="4">
        <f>IF($A32="","",$N32*Inputs!$B$15/12)</f>
        <v>2083.3333333333335</v>
      </c>
      <c r="P32" s="4">
        <f>IF($A32="","",SUM(IF($A32=EOMONTH(Inputs!$B$3,0),Inputs!$B$4*Inputs!$B$16,0),IF(Inputs!$B$3="",0,IF($A32=EOMONTH(Inputs!$B$3,12),Inputs!$B$4*Inputs!$B$16,0)),IF(Inputs!$B$3="",0,IF($A32=EOMONTH(Inputs!$B$3,24),Inputs!$B$4*Inputs!$B$16,0))))</f>
        <v>0</v>
      </c>
      <c r="Q32" s="4">
        <f>IF($A32="","",IF(AND(Inputs!$B$18&lt;&gt;"",$A32=EOMONTH(Inputs!$B$18,0),Inputs!$B$18&lt;=Inputs!$B$23),Inputs!$B$4*Inputs!$B$17,0))</f>
        <v>0</v>
      </c>
      <c r="R32" s="4">
        <f t="shared" si="8"/>
        <v>0</v>
      </c>
      <c r="S32" s="4"/>
      <c r="T32" s="4">
        <f>IF($A32="","",IF(OR(Inputs!$B$27="",Inputs!$B$28=""),0,IF($A32&lt;Inputs!$B$27,0,IF($A32&gt;Inputs!$B$29,0,$R32/MAX(1,Inputs!$B$28-DATEDIF(Inputs!$B$27,$A32,"m"))))))</f>
        <v>0</v>
      </c>
      <c r="U32" s="4"/>
      <c r="V32" s="4">
        <f t="shared" si="2"/>
        <v>0</v>
      </c>
      <c r="W32" s="5">
        <f>IF($A32="","",MAX(Inputs!$B$14,(IF($B32="",Inputs!$B$20,$B32)+Inputs!$B$13)))</f>
        <v>8.249999999999999E-2</v>
      </c>
      <c r="X32" s="4">
        <f t="shared" si="3"/>
        <v>0</v>
      </c>
      <c r="Y32" s="4">
        <f>IF($A32="","",IF(AND(IF($U32="",0,$U32)&gt;0,Inputs!$B$24&lt;&gt;"",$A32&lt;=EOMONTH(Inputs!$B$24,0)),IF($U32="",0,$U32)*Inputs!$B$19,0))</f>
        <v>0</v>
      </c>
      <c r="Z32" s="4">
        <f t="shared" si="4"/>
        <v>0</v>
      </c>
      <c r="AA32" s="4">
        <f t="shared" si="5"/>
        <v>2083.3333333333335</v>
      </c>
      <c r="AB32" s="4">
        <f t="shared" si="6"/>
        <v>-2083.3333333333335</v>
      </c>
      <c r="AC32" s="4">
        <f>IF($A32="","",SUM($AB$2:$AB32))</f>
        <v>5111041.6666666744</v>
      </c>
    </row>
    <row r="33" spans="1:29" x14ac:dyDescent="0.45">
      <c r="A33" s="3">
        <f>IF(OR($A32="",AND(Inputs!$B$31&lt;&gt;"",EOMONTH($A32,1)&gt;Inputs!$B$31)),"",EOMONTH($A32,1))</f>
        <v>46507</v>
      </c>
      <c r="B33" s="5"/>
      <c r="C33" s="4"/>
      <c r="D33" s="5"/>
      <c r="E33" s="8">
        <f>IF($A33="","",MAX(0,(1-(IF($D33="",Inputs!$B$21,$D33)))*IF($A33&lt;=DATE(2026,7,31),9,IF($A33&lt;=DATE(2027,7,31),7.5,6))))</f>
        <v>7.125</v>
      </c>
      <c r="F33" s="4">
        <f>IF($A33="","",(IF($C33="",Inputs!$B$22,$C33))*$E33)</f>
        <v>0</v>
      </c>
      <c r="G33" s="4">
        <f>IF($A33="","",Inputs!$B$4+IF(AND(Inputs!$B$6&lt;&gt;"",$A33&gt;=EOMONTH(Inputs!$B$6,0)),Inputs!$B$5,0))</f>
        <v>10000000</v>
      </c>
      <c r="H33" s="4">
        <f t="shared" si="7"/>
        <v>0</v>
      </c>
      <c r="I33" s="4"/>
      <c r="J33" s="4"/>
      <c r="K33" s="4">
        <f t="shared" si="10"/>
        <v>0</v>
      </c>
      <c r="L33" s="5">
        <f>IF($A33="","",MAX(Inputs!$B$14,(IF($B33="",Inputs!$B$20,$B33)+Inputs!$B$12)))</f>
        <v>0.08</v>
      </c>
      <c r="M33" s="4">
        <f t="shared" si="0"/>
        <v>0</v>
      </c>
      <c r="N33" s="4">
        <f t="shared" si="1"/>
        <v>10000000</v>
      </c>
      <c r="O33" s="4">
        <f>IF($A33="","",$N33*Inputs!$B$15/12)</f>
        <v>2083.3333333333335</v>
      </c>
      <c r="P33" s="4">
        <f>IF($A33="","",SUM(IF($A33=EOMONTH(Inputs!$B$3,0),Inputs!$B$4*Inputs!$B$16,0),IF(Inputs!$B$3="",0,IF($A33=EOMONTH(Inputs!$B$3,12),Inputs!$B$4*Inputs!$B$16,0)),IF(Inputs!$B$3="",0,IF($A33=EOMONTH(Inputs!$B$3,24),Inputs!$B$4*Inputs!$B$16,0))))</f>
        <v>0</v>
      </c>
      <c r="Q33" s="4">
        <f>IF($A33="","",IF(AND(Inputs!$B$18&lt;&gt;"",$A33=EOMONTH(Inputs!$B$18,0),Inputs!$B$18&lt;=Inputs!$B$23),Inputs!$B$4*Inputs!$B$17,0))</f>
        <v>0</v>
      </c>
      <c r="R33" s="4">
        <f t="shared" si="8"/>
        <v>0</v>
      </c>
      <c r="S33" s="4"/>
      <c r="T33" s="4">
        <f>IF($A33="","",IF(OR(Inputs!$B$27="",Inputs!$B$28=""),0,IF($A33&lt;Inputs!$B$27,0,IF($A33&gt;Inputs!$B$29,0,$R33/MAX(1,Inputs!$B$28-DATEDIF(Inputs!$B$27,$A33,"m"))))))</f>
        <v>0</v>
      </c>
      <c r="U33" s="4"/>
      <c r="V33" s="4">
        <f t="shared" si="2"/>
        <v>0</v>
      </c>
      <c r="W33" s="5">
        <f>IF($A33="","",MAX(Inputs!$B$14,(IF($B33="",Inputs!$B$20,$B33)+Inputs!$B$13)))</f>
        <v>8.249999999999999E-2</v>
      </c>
      <c r="X33" s="4">
        <f t="shared" si="3"/>
        <v>0</v>
      </c>
      <c r="Y33" s="4">
        <f>IF($A33="","",IF(AND(IF($U33="",0,$U33)&gt;0,Inputs!$B$24&lt;&gt;"",$A33&lt;=EOMONTH(Inputs!$B$24,0)),IF($U33="",0,$U33)*Inputs!$B$19,0))</f>
        <v>0</v>
      </c>
      <c r="Z33" s="4">
        <f t="shared" si="4"/>
        <v>0</v>
      </c>
      <c r="AA33" s="4">
        <f t="shared" si="5"/>
        <v>2083.3333333333335</v>
      </c>
      <c r="AB33" s="4">
        <f t="shared" si="6"/>
        <v>-2083.3333333333335</v>
      </c>
      <c r="AC33" s="4">
        <f>IF($A33="","",SUM($AB$2:$AB33))</f>
        <v>5108958.3333333414</v>
      </c>
    </row>
    <row r="34" spans="1:29" x14ac:dyDescent="0.45">
      <c r="A34" s="3">
        <f>IF(OR($A33="",AND(Inputs!$B$31&lt;&gt;"",EOMONTH($A33,1)&gt;Inputs!$B$31)),"",EOMONTH($A33,1))</f>
        <v>46538</v>
      </c>
      <c r="B34" s="5"/>
      <c r="C34" s="4"/>
      <c r="D34" s="5"/>
      <c r="E34" s="8">
        <f>IF($A34="","",MAX(0,(1-(IF($D34="",Inputs!$B$21,$D34)))*IF($A34&lt;=DATE(2026,7,31),9,IF($A34&lt;=DATE(2027,7,31),7.5,6))))</f>
        <v>7.125</v>
      </c>
      <c r="F34" s="4">
        <f>IF($A34="","",(IF($C34="",Inputs!$B$22,$C34))*$E34)</f>
        <v>0</v>
      </c>
      <c r="G34" s="4">
        <f>IF($A34="","",Inputs!$B$4+IF(AND(Inputs!$B$6&lt;&gt;"",$A34&gt;=EOMONTH(Inputs!$B$6,0)),Inputs!$B$5,0))</f>
        <v>10000000</v>
      </c>
      <c r="H34" s="4">
        <f t="shared" si="7"/>
        <v>0</v>
      </c>
      <c r="I34" s="4"/>
      <c r="J34" s="4"/>
      <c r="K34" s="4">
        <f t="shared" ref="K34:K65" si="11">IF($A34="","",MAX(0,MIN($H34+IF($I34="",0,$I34)-IF($J34="",0,$J34),MIN($G34,$F34))))</f>
        <v>0</v>
      </c>
      <c r="L34" s="5">
        <f>IF($A34="","",MAX(Inputs!$B$14,(IF($B34="",Inputs!$B$20,$B34)+Inputs!$B$12)))</f>
        <v>0.08</v>
      </c>
      <c r="M34" s="4">
        <f t="shared" ref="M34:M65" si="12">IF($A34="","",(($H34+$K34)/2)*$L34/12)</f>
        <v>0</v>
      </c>
      <c r="N34" s="4">
        <f t="shared" ref="N34:N65" si="13">IF($A34="","",MAX(0,$G34-$K34))</f>
        <v>10000000</v>
      </c>
      <c r="O34" s="4">
        <f>IF($A34="","",$N34*Inputs!$B$15/12)</f>
        <v>2083.3333333333335</v>
      </c>
      <c r="P34" s="4">
        <f>IF($A34="","",SUM(IF($A34=EOMONTH(Inputs!$B$3,0),Inputs!$B$4*Inputs!$B$16,0),IF(Inputs!$B$3="",0,IF($A34=EOMONTH(Inputs!$B$3,12),Inputs!$B$4*Inputs!$B$16,0)),IF(Inputs!$B$3="",0,IF($A34=EOMONTH(Inputs!$B$3,24),Inputs!$B$4*Inputs!$B$16,0))))</f>
        <v>0</v>
      </c>
      <c r="Q34" s="4">
        <f>IF($A34="","",IF(AND(Inputs!$B$18&lt;&gt;"",$A34=EOMONTH(Inputs!$B$18,0),Inputs!$B$18&lt;=Inputs!$B$23),Inputs!$B$4*Inputs!$B$17,0))</f>
        <v>0</v>
      </c>
      <c r="R34" s="4">
        <f t="shared" si="8"/>
        <v>0</v>
      </c>
      <c r="S34" s="4"/>
      <c r="T34" s="4">
        <f>IF($A34="","",IF(OR(Inputs!$B$27="",Inputs!$B$28=""),0,IF($A34&lt;Inputs!$B$27,0,IF($A34&gt;Inputs!$B$29,0,$R34/MAX(1,Inputs!$B$28-DATEDIF(Inputs!$B$27,$A34,"m"))))))</f>
        <v>0</v>
      </c>
      <c r="U34" s="4"/>
      <c r="V34" s="4">
        <f t="shared" ref="V34:V65" si="14">IF($A34="","",MAX(0,$R34+IF($S34="",0,$S34)-$T34-IF($U34="",0,$U34)))</f>
        <v>0</v>
      </c>
      <c r="W34" s="5">
        <f>IF($A34="","",MAX(Inputs!$B$14,(IF($B34="",Inputs!$B$20,$B34)+Inputs!$B$13)))</f>
        <v>8.249999999999999E-2</v>
      </c>
      <c r="X34" s="4">
        <f t="shared" ref="X34:X65" si="15">IF($A34="","",(($R34+$V34)/2)*$W34/12)</f>
        <v>0</v>
      </c>
      <c r="Y34" s="4">
        <f>IF($A34="","",IF(AND(IF($U34="",0,$U34)&gt;0,Inputs!$B$24&lt;&gt;"",$A34&lt;=EOMONTH(Inputs!$B$24,0)),IF($U34="",0,$U34)*Inputs!$B$19,0))</f>
        <v>0</v>
      </c>
      <c r="Z34" s="4">
        <f t="shared" ref="Z34:Z65" si="16">IF($A34="","",IF($I34="",0,$I34)+IF($S34="",0,$S34))</f>
        <v>0</v>
      </c>
      <c r="AA34" s="4">
        <f t="shared" ref="AA34:AA65" si="17">IF($A34="","",IF($J34="",0,$J34)+$M34+$O34+$P34+$Q34+$T34+IF($U34="",0,$U34)+$X34+$Y34)</f>
        <v>2083.3333333333335</v>
      </c>
      <c r="AB34" s="4">
        <f t="shared" ref="AB34:AB65" si="18">IF($A34="","",$Z34-$AA34)</f>
        <v>-2083.3333333333335</v>
      </c>
      <c r="AC34" s="4">
        <f>IF($A34="","",SUM($AB$2:$AB34))</f>
        <v>5106875.0000000084</v>
      </c>
    </row>
    <row r="35" spans="1:29" x14ac:dyDescent="0.45">
      <c r="A35" s="3">
        <f>IF(OR($A34="",AND(Inputs!$B$31&lt;&gt;"",EOMONTH($A34,1)&gt;Inputs!$B$31)),"",EOMONTH($A34,1))</f>
        <v>46568</v>
      </c>
      <c r="B35" s="5"/>
      <c r="C35" s="4"/>
      <c r="D35" s="5"/>
      <c r="E35" s="8">
        <f>IF($A35="","",MAX(0,(1-(IF($D35="",Inputs!$B$21,$D35)))*IF($A35&lt;=DATE(2026,7,31),9,IF($A35&lt;=DATE(2027,7,31),7.5,6))))</f>
        <v>7.125</v>
      </c>
      <c r="F35" s="4">
        <f>IF($A35="","",(IF($C35="",Inputs!$B$22,$C35))*$E35)</f>
        <v>0</v>
      </c>
      <c r="G35" s="4">
        <f>IF($A35="","",Inputs!$B$4+IF(AND(Inputs!$B$6&lt;&gt;"",$A35&gt;=EOMONTH(Inputs!$B$6,0)),Inputs!$B$5,0))</f>
        <v>10000000</v>
      </c>
      <c r="H35" s="4">
        <f t="shared" ref="H35:H66" si="19">IF($A35="","",IF($A34="",0,$K34))</f>
        <v>0</v>
      </c>
      <c r="I35" s="4"/>
      <c r="J35" s="4"/>
      <c r="K35" s="4">
        <f t="shared" si="11"/>
        <v>0</v>
      </c>
      <c r="L35" s="5">
        <f>IF($A35="","",MAX(Inputs!$B$14,(IF($B35="",Inputs!$B$20,$B35)+Inputs!$B$12)))</f>
        <v>0.08</v>
      </c>
      <c r="M35" s="4">
        <f t="shared" si="12"/>
        <v>0</v>
      </c>
      <c r="N35" s="4">
        <f t="shared" si="13"/>
        <v>10000000</v>
      </c>
      <c r="O35" s="4">
        <f>IF($A35="","",$N35*Inputs!$B$15/12)</f>
        <v>2083.3333333333335</v>
      </c>
      <c r="P35" s="4">
        <f>IF($A35="","",SUM(IF($A35=EOMONTH(Inputs!$B$3,0),Inputs!$B$4*Inputs!$B$16,0),IF(Inputs!$B$3="",0,IF($A35=EOMONTH(Inputs!$B$3,12),Inputs!$B$4*Inputs!$B$16,0)),IF(Inputs!$B$3="",0,IF($A35=EOMONTH(Inputs!$B$3,24),Inputs!$B$4*Inputs!$B$16,0))))</f>
        <v>0</v>
      </c>
      <c r="Q35" s="4">
        <f>IF($A35="","",IF(AND(Inputs!$B$18&lt;&gt;"",$A35=EOMONTH(Inputs!$B$18,0),Inputs!$B$18&lt;=Inputs!$B$23),Inputs!$B$4*Inputs!$B$17,0))</f>
        <v>0</v>
      </c>
      <c r="R35" s="4">
        <f t="shared" ref="R35:R66" si="20">IF($A35="","",IF($A34="",0,$V34))</f>
        <v>0</v>
      </c>
      <c r="S35" s="4"/>
      <c r="T35" s="4">
        <f>IF($A35="","",IF(OR(Inputs!$B$27="",Inputs!$B$28=""),0,IF($A35&lt;Inputs!$B$27,0,IF($A35&gt;Inputs!$B$29,0,$R35/MAX(1,Inputs!$B$28-DATEDIF(Inputs!$B$27,$A35,"m"))))))</f>
        <v>0</v>
      </c>
      <c r="U35" s="4"/>
      <c r="V35" s="4">
        <f t="shared" si="14"/>
        <v>0</v>
      </c>
      <c r="W35" s="5">
        <f>IF($A35="","",MAX(Inputs!$B$14,(IF($B35="",Inputs!$B$20,$B35)+Inputs!$B$13)))</f>
        <v>8.249999999999999E-2</v>
      </c>
      <c r="X35" s="4">
        <f t="shared" si="15"/>
        <v>0</v>
      </c>
      <c r="Y35" s="4">
        <f>IF($A35="","",IF(AND(IF($U35="",0,$U35)&gt;0,Inputs!$B$24&lt;&gt;"",$A35&lt;=EOMONTH(Inputs!$B$24,0)),IF($U35="",0,$U35)*Inputs!$B$19,0))</f>
        <v>0</v>
      </c>
      <c r="Z35" s="4">
        <f t="shared" si="16"/>
        <v>0</v>
      </c>
      <c r="AA35" s="4">
        <f t="shared" si="17"/>
        <v>2083.3333333333335</v>
      </c>
      <c r="AB35" s="4">
        <f t="shared" si="18"/>
        <v>-2083.3333333333335</v>
      </c>
      <c r="AC35" s="4">
        <f>IF($A35="","",SUM($AB$2:$AB35))</f>
        <v>5104791.6666666754</v>
      </c>
    </row>
    <row r="36" spans="1:29" x14ac:dyDescent="0.45">
      <c r="A36" s="3">
        <f>IF(OR($A35="",AND(Inputs!$B$31&lt;&gt;"",EOMONTH($A35,1)&gt;Inputs!$B$31)),"",EOMONTH($A35,1))</f>
        <v>46599</v>
      </c>
      <c r="B36" s="5"/>
      <c r="C36" s="4"/>
      <c r="D36" s="5"/>
      <c r="E36" s="8">
        <f>IF($A36="","",MAX(0,(1-(IF($D36="",Inputs!$B$21,$D36)))*IF($A36&lt;=DATE(2026,7,31),9,IF($A36&lt;=DATE(2027,7,31),7.5,6))))</f>
        <v>7.125</v>
      </c>
      <c r="F36" s="4">
        <f>IF($A36="","",(IF($C36="",Inputs!$B$22,$C36))*$E36)</f>
        <v>0</v>
      </c>
      <c r="G36" s="4">
        <f>IF($A36="","",Inputs!$B$4+IF(AND(Inputs!$B$6&lt;&gt;"",$A36&gt;=EOMONTH(Inputs!$B$6,0)),Inputs!$B$5,0))</f>
        <v>10000000</v>
      </c>
      <c r="H36" s="4">
        <f t="shared" si="19"/>
        <v>0</v>
      </c>
      <c r="I36" s="4"/>
      <c r="J36" s="4"/>
      <c r="K36" s="4">
        <f t="shared" si="11"/>
        <v>0</v>
      </c>
      <c r="L36" s="5">
        <f>IF($A36="","",MAX(Inputs!$B$14,(IF($B36="",Inputs!$B$20,$B36)+Inputs!$B$12)))</f>
        <v>0.08</v>
      </c>
      <c r="M36" s="4">
        <f t="shared" si="12"/>
        <v>0</v>
      </c>
      <c r="N36" s="4">
        <f t="shared" si="13"/>
        <v>10000000</v>
      </c>
      <c r="O36" s="4">
        <f>IF($A36="","",$N36*Inputs!$B$15/12)</f>
        <v>2083.3333333333335</v>
      </c>
      <c r="P36" s="4">
        <f>IF($A36="","",SUM(IF($A36=EOMONTH(Inputs!$B$3,0),Inputs!$B$4*Inputs!$B$16,0),IF(Inputs!$B$3="",0,IF($A36=EOMONTH(Inputs!$B$3,12),Inputs!$B$4*Inputs!$B$16,0)),IF(Inputs!$B$3="",0,IF($A36=EOMONTH(Inputs!$B$3,24),Inputs!$B$4*Inputs!$B$16,0))))</f>
        <v>0</v>
      </c>
      <c r="Q36" s="4">
        <f>IF($A36="","",IF(AND(Inputs!$B$18&lt;&gt;"",$A36=EOMONTH(Inputs!$B$18,0),Inputs!$B$18&lt;=Inputs!$B$23),Inputs!$B$4*Inputs!$B$17,0))</f>
        <v>0</v>
      </c>
      <c r="R36" s="4">
        <f t="shared" si="20"/>
        <v>0</v>
      </c>
      <c r="S36" s="4"/>
      <c r="T36" s="4">
        <f>IF($A36="","",IF(OR(Inputs!$B$27="",Inputs!$B$28=""),0,IF($A36&lt;Inputs!$B$27,0,IF($A36&gt;Inputs!$B$29,0,$R36/MAX(1,Inputs!$B$28-DATEDIF(Inputs!$B$27,$A36,"m"))))))</f>
        <v>0</v>
      </c>
      <c r="U36" s="4"/>
      <c r="V36" s="4">
        <f t="shared" si="14"/>
        <v>0</v>
      </c>
      <c r="W36" s="5">
        <f>IF($A36="","",MAX(Inputs!$B$14,(IF($B36="",Inputs!$B$20,$B36)+Inputs!$B$13)))</f>
        <v>8.249999999999999E-2</v>
      </c>
      <c r="X36" s="4">
        <f t="shared" si="15"/>
        <v>0</v>
      </c>
      <c r="Y36" s="4">
        <f>IF($A36="","",IF(AND(IF($U36="",0,$U36)&gt;0,Inputs!$B$24&lt;&gt;"",$A36&lt;=EOMONTH(Inputs!$B$24,0)),IF($U36="",0,$U36)*Inputs!$B$19,0))</f>
        <v>0</v>
      </c>
      <c r="Z36" s="4">
        <f t="shared" si="16"/>
        <v>0</v>
      </c>
      <c r="AA36" s="4">
        <f t="shared" si="17"/>
        <v>2083.3333333333335</v>
      </c>
      <c r="AB36" s="4">
        <f t="shared" si="18"/>
        <v>-2083.3333333333335</v>
      </c>
      <c r="AC36" s="4">
        <f>IF($A36="","",SUM($AB$2:$AB36))</f>
        <v>5102708.3333333423</v>
      </c>
    </row>
    <row r="37" spans="1:29" x14ac:dyDescent="0.45">
      <c r="A37" s="3">
        <f>IF(OR($A36="",AND(Inputs!$B$31&lt;&gt;"",EOMONTH($A36,1)&gt;Inputs!$B$31)),"",EOMONTH($A36,1))</f>
        <v>46630</v>
      </c>
      <c r="B37" s="5"/>
      <c r="C37" s="4"/>
      <c r="D37" s="5"/>
      <c r="E37" s="8">
        <f>IF($A37="","",MAX(0,(1-(IF($D37="",Inputs!$B$21,$D37)))*IF($A37&lt;=DATE(2026,7,31),9,IF($A37&lt;=DATE(2027,7,31),7.5,6))))</f>
        <v>5.6999999999999993</v>
      </c>
      <c r="F37" s="4">
        <f>IF($A37="","",(IF($C37="",Inputs!$B$22,$C37))*$E37)</f>
        <v>0</v>
      </c>
      <c r="G37" s="4">
        <f>IF($A37="","",Inputs!$B$4+IF(AND(Inputs!$B$6&lt;&gt;"",$A37&gt;=EOMONTH(Inputs!$B$6,0)),Inputs!$B$5,0))</f>
        <v>10000000</v>
      </c>
      <c r="H37" s="4">
        <f t="shared" si="19"/>
        <v>0</v>
      </c>
      <c r="I37" s="4"/>
      <c r="J37" s="4"/>
      <c r="K37" s="4">
        <f t="shared" si="11"/>
        <v>0</v>
      </c>
      <c r="L37" s="5">
        <f>IF($A37="","",MAX(Inputs!$B$14,(IF($B37="",Inputs!$B$20,$B37)+Inputs!$B$12)))</f>
        <v>0.08</v>
      </c>
      <c r="M37" s="4">
        <f t="shared" si="12"/>
        <v>0</v>
      </c>
      <c r="N37" s="4">
        <f t="shared" si="13"/>
        <v>10000000</v>
      </c>
      <c r="O37" s="4">
        <f>IF($A37="","",$N37*Inputs!$B$15/12)</f>
        <v>2083.3333333333335</v>
      </c>
      <c r="P37" s="4">
        <f>IF($A37="","",SUM(IF($A37=EOMONTH(Inputs!$B$3,0),Inputs!$B$4*Inputs!$B$16,0),IF(Inputs!$B$3="",0,IF($A37=EOMONTH(Inputs!$B$3,12),Inputs!$B$4*Inputs!$B$16,0)),IF(Inputs!$B$3="",0,IF($A37=EOMONTH(Inputs!$B$3,24),Inputs!$B$4*Inputs!$B$16,0))))</f>
        <v>0</v>
      </c>
      <c r="Q37" s="4">
        <f>IF($A37="","",IF(AND(Inputs!$B$18&lt;&gt;"",$A37=EOMONTH(Inputs!$B$18,0),Inputs!$B$18&lt;=Inputs!$B$23),Inputs!$B$4*Inputs!$B$17,0))</f>
        <v>0</v>
      </c>
      <c r="R37" s="4">
        <f t="shared" si="20"/>
        <v>0</v>
      </c>
      <c r="S37" s="4"/>
      <c r="T37" s="4">
        <f>IF($A37="","",IF(OR(Inputs!$B$27="",Inputs!$B$28=""),0,IF($A37&lt;Inputs!$B$27,0,IF($A37&gt;Inputs!$B$29,0,$R37/MAX(1,Inputs!$B$28-DATEDIF(Inputs!$B$27,$A37,"m"))))))</f>
        <v>0</v>
      </c>
      <c r="U37" s="4"/>
      <c r="V37" s="4">
        <f t="shared" si="14"/>
        <v>0</v>
      </c>
      <c r="W37" s="5">
        <f>IF($A37="","",MAX(Inputs!$B$14,(IF($B37="",Inputs!$B$20,$B37)+Inputs!$B$13)))</f>
        <v>8.249999999999999E-2</v>
      </c>
      <c r="X37" s="4">
        <f t="shared" si="15"/>
        <v>0</v>
      </c>
      <c r="Y37" s="4">
        <f>IF($A37="","",IF(AND(IF($U37="",0,$U37)&gt;0,Inputs!$B$24&lt;&gt;"",$A37&lt;=EOMONTH(Inputs!$B$24,0)),IF($U37="",0,$U37)*Inputs!$B$19,0))</f>
        <v>0</v>
      </c>
      <c r="Z37" s="4">
        <f t="shared" si="16"/>
        <v>0</v>
      </c>
      <c r="AA37" s="4">
        <f t="shared" si="17"/>
        <v>2083.3333333333335</v>
      </c>
      <c r="AB37" s="4">
        <f t="shared" si="18"/>
        <v>-2083.3333333333335</v>
      </c>
      <c r="AC37" s="4">
        <f>IF($A37="","",SUM($AB$2:$AB37))</f>
        <v>5100625.0000000093</v>
      </c>
    </row>
    <row r="38" spans="1:29" x14ac:dyDescent="0.45">
      <c r="A38" s="3">
        <f>IF(OR($A37="",AND(Inputs!$B$31&lt;&gt;"",EOMONTH($A37,1)&gt;Inputs!$B$31)),"",EOMONTH($A37,1))</f>
        <v>46660</v>
      </c>
      <c r="B38" s="5"/>
      <c r="C38" s="4"/>
      <c r="D38" s="5"/>
      <c r="E38" s="8">
        <f>IF($A38="","",MAX(0,(1-(IF($D38="",Inputs!$B$21,$D38)))*IF($A38&lt;=DATE(2026,7,31),9,IF($A38&lt;=DATE(2027,7,31),7.5,6))))</f>
        <v>5.6999999999999993</v>
      </c>
      <c r="F38" s="4">
        <f>IF($A38="","",(IF($C38="",Inputs!$B$22,$C38))*$E38)</f>
        <v>0</v>
      </c>
      <c r="G38" s="4">
        <f>IF($A38="","",Inputs!$B$4+IF(AND(Inputs!$B$6&lt;&gt;"",$A38&gt;=EOMONTH(Inputs!$B$6,0)),Inputs!$B$5,0))</f>
        <v>10000000</v>
      </c>
      <c r="H38" s="4">
        <f t="shared" si="19"/>
        <v>0</v>
      </c>
      <c r="I38" s="4"/>
      <c r="J38" s="4"/>
      <c r="K38" s="4">
        <f t="shared" si="11"/>
        <v>0</v>
      </c>
      <c r="L38" s="5">
        <f>IF($A38="","",MAX(Inputs!$B$14,(IF($B38="",Inputs!$B$20,$B38)+Inputs!$B$12)))</f>
        <v>0.08</v>
      </c>
      <c r="M38" s="4">
        <f t="shared" si="12"/>
        <v>0</v>
      </c>
      <c r="N38" s="4">
        <f t="shared" si="13"/>
        <v>10000000</v>
      </c>
      <c r="O38" s="4">
        <f>IF($A38="","",$N38*Inputs!$B$15/12)</f>
        <v>2083.3333333333335</v>
      </c>
      <c r="P38" s="4">
        <f>IF($A38="","",SUM(IF($A38=EOMONTH(Inputs!$B$3,0),Inputs!$B$4*Inputs!$B$16,0),IF(Inputs!$B$3="",0,IF($A38=EOMONTH(Inputs!$B$3,12),Inputs!$B$4*Inputs!$B$16,0)),IF(Inputs!$B$3="",0,IF($A38=EOMONTH(Inputs!$B$3,24),Inputs!$B$4*Inputs!$B$16,0))))</f>
        <v>0</v>
      </c>
      <c r="Q38" s="4">
        <f>IF($A38="","",IF(AND(Inputs!$B$18&lt;&gt;"",$A38=EOMONTH(Inputs!$B$18,0),Inputs!$B$18&lt;=Inputs!$B$23),Inputs!$B$4*Inputs!$B$17,0))</f>
        <v>0</v>
      </c>
      <c r="R38" s="4">
        <f t="shared" si="20"/>
        <v>0</v>
      </c>
      <c r="S38" s="4"/>
      <c r="T38" s="4">
        <f>IF($A38="","",IF(OR(Inputs!$B$27="",Inputs!$B$28=""),0,IF($A38&lt;Inputs!$B$27,0,IF($A38&gt;Inputs!$B$29,0,$R38/MAX(1,Inputs!$B$28-DATEDIF(Inputs!$B$27,$A38,"m"))))))</f>
        <v>0</v>
      </c>
      <c r="U38" s="4"/>
      <c r="V38" s="4">
        <f t="shared" si="14"/>
        <v>0</v>
      </c>
      <c r="W38" s="5">
        <f>IF($A38="","",MAX(Inputs!$B$14,(IF($B38="",Inputs!$B$20,$B38)+Inputs!$B$13)))</f>
        <v>8.249999999999999E-2</v>
      </c>
      <c r="X38" s="4">
        <f t="shared" si="15"/>
        <v>0</v>
      </c>
      <c r="Y38" s="4">
        <f>IF($A38="","",IF(AND(IF($U38="",0,$U38)&gt;0,Inputs!$B$24&lt;&gt;"",$A38&lt;=EOMONTH(Inputs!$B$24,0)),IF($U38="",0,$U38)*Inputs!$B$19,0))</f>
        <v>0</v>
      </c>
      <c r="Z38" s="4">
        <f t="shared" si="16"/>
        <v>0</v>
      </c>
      <c r="AA38" s="4">
        <f t="shared" si="17"/>
        <v>2083.3333333333335</v>
      </c>
      <c r="AB38" s="4">
        <f t="shared" si="18"/>
        <v>-2083.3333333333335</v>
      </c>
      <c r="AC38" s="4">
        <f>IF($A38="","",SUM($AB$2:$AB38))</f>
        <v>5098541.6666666763</v>
      </c>
    </row>
    <row r="39" spans="1:29" x14ac:dyDescent="0.45">
      <c r="A39" s="3">
        <f>IF(OR($A38="",AND(Inputs!$B$31&lt;&gt;"",EOMONTH($A38,1)&gt;Inputs!$B$31)),"",EOMONTH($A38,1))</f>
        <v>46691</v>
      </c>
      <c r="B39" s="5"/>
      <c r="C39" s="4"/>
      <c r="D39" s="5"/>
      <c r="E39" s="8">
        <f>IF($A39="","",MAX(0,(1-(IF($D39="",Inputs!$B$21,$D39)))*IF($A39&lt;=DATE(2026,7,31),9,IF($A39&lt;=DATE(2027,7,31),7.5,6))))</f>
        <v>5.6999999999999993</v>
      </c>
      <c r="F39" s="4">
        <f>IF($A39="","",(IF($C39="",Inputs!$B$22,$C39))*$E39)</f>
        <v>0</v>
      </c>
      <c r="G39" s="4">
        <f>IF($A39="","",Inputs!$B$4+IF(AND(Inputs!$B$6&lt;&gt;"",$A39&gt;=EOMONTH(Inputs!$B$6,0)),Inputs!$B$5,0))</f>
        <v>10000000</v>
      </c>
      <c r="H39" s="4">
        <f t="shared" si="19"/>
        <v>0</v>
      </c>
      <c r="I39" s="4"/>
      <c r="J39" s="4"/>
      <c r="K39" s="4">
        <f t="shared" si="11"/>
        <v>0</v>
      </c>
      <c r="L39" s="5">
        <f>IF($A39="","",MAX(Inputs!$B$14,(IF($B39="",Inputs!$B$20,$B39)+Inputs!$B$12)))</f>
        <v>0.08</v>
      </c>
      <c r="M39" s="4">
        <f t="shared" si="12"/>
        <v>0</v>
      </c>
      <c r="N39" s="4">
        <f t="shared" si="13"/>
        <v>10000000</v>
      </c>
      <c r="O39" s="4">
        <f>IF($A39="","",$N39*Inputs!$B$15/12)</f>
        <v>2083.3333333333335</v>
      </c>
      <c r="P39" s="4">
        <f>IF($A39="","",SUM(IF($A39=EOMONTH(Inputs!$B$3,0),Inputs!$B$4*Inputs!$B$16,0),IF(Inputs!$B$3="",0,IF($A39=EOMONTH(Inputs!$B$3,12),Inputs!$B$4*Inputs!$B$16,0)),IF(Inputs!$B$3="",0,IF($A39=EOMONTH(Inputs!$B$3,24),Inputs!$B$4*Inputs!$B$16,0))))</f>
        <v>0</v>
      </c>
      <c r="Q39" s="4">
        <f>IF($A39="","",IF(AND(Inputs!$B$18&lt;&gt;"",$A39=EOMONTH(Inputs!$B$18,0),Inputs!$B$18&lt;=Inputs!$B$23),Inputs!$B$4*Inputs!$B$17,0))</f>
        <v>0</v>
      </c>
      <c r="R39" s="4">
        <f t="shared" si="20"/>
        <v>0</v>
      </c>
      <c r="S39" s="4"/>
      <c r="T39" s="4">
        <f>IF($A39="","",IF(OR(Inputs!$B$27="",Inputs!$B$28=""),0,IF($A39&lt;Inputs!$B$27,0,IF($A39&gt;Inputs!$B$29,0,$R39/MAX(1,Inputs!$B$28-DATEDIF(Inputs!$B$27,$A39,"m"))))))</f>
        <v>0</v>
      </c>
      <c r="U39" s="4"/>
      <c r="V39" s="4">
        <f t="shared" si="14"/>
        <v>0</v>
      </c>
      <c r="W39" s="5">
        <f>IF($A39="","",MAX(Inputs!$B$14,(IF($B39="",Inputs!$B$20,$B39)+Inputs!$B$13)))</f>
        <v>8.249999999999999E-2</v>
      </c>
      <c r="X39" s="4">
        <f t="shared" si="15"/>
        <v>0</v>
      </c>
      <c r="Y39" s="4">
        <f>IF($A39="","",IF(AND(IF($U39="",0,$U39)&gt;0,Inputs!$B$24&lt;&gt;"",$A39&lt;=EOMONTH(Inputs!$B$24,0)),IF($U39="",0,$U39)*Inputs!$B$19,0))</f>
        <v>0</v>
      </c>
      <c r="Z39" s="4">
        <f t="shared" si="16"/>
        <v>0</v>
      </c>
      <c r="AA39" s="4">
        <f t="shared" si="17"/>
        <v>2083.3333333333335</v>
      </c>
      <c r="AB39" s="4">
        <f t="shared" si="18"/>
        <v>-2083.3333333333335</v>
      </c>
      <c r="AC39" s="4">
        <f>IF($A39="","",SUM($AB$2:$AB39))</f>
        <v>5096458.3333333433</v>
      </c>
    </row>
    <row r="40" spans="1:29" x14ac:dyDescent="0.45">
      <c r="A40" s="3">
        <f>IF(OR($A39="",AND(Inputs!$B$31&lt;&gt;"",EOMONTH($A39,1)&gt;Inputs!$B$31)),"",EOMONTH($A39,1))</f>
        <v>46721</v>
      </c>
      <c r="B40" s="5"/>
      <c r="C40" s="4"/>
      <c r="D40" s="5"/>
      <c r="E40" s="8">
        <f>IF($A40="","",MAX(0,(1-(IF($D40="",Inputs!$B$21,$D40)))*IF($A40&lt;=DATE(2026,7,31),9,IF($A40&lt;=DATE(2027,7,31),7.5,6))))</f>
        <v>5.6999999999999993</v>
      </c>
      <c r="F40" s="4">
        <f>IF($A40="","",(IF($C40="",Inputs!$B$22,$C40))*$E40)</f>
        <v>0</v>
      </c>
      <c r="G40" s="4">
        <f>IF($A40="","",Inputs!$B$4+IF(AND(Inputs!$B$6&lt;&gt;"",$A40&gt;=EOMONTH(Inputs!$B$6,0)),Inputs!$B$5,0))</f>
        <v>10000000</v>
      </c>
      <c r="H40" s="4">
        <f t="shared" si="19"/>
        <v>0</v>
      </c>
      <c r="I40" s="4"/>
      <c r="J40" s="4"/>
      <c r="K40" s="4">
        <f t="shared" si="11"/>
        <v>0</v>
      </c>
      <c r="L40" s="5">
        <f>IF($A40="","",MAX(Inputs!$B$14,(IF($B40="",Inputs!$B$20,$B40)+Inputs!$B$12)))</f>
        <v>0.08</v>
      </c>
      <c r="M40" s="4">
        <f t="shared" si="12"/>
        <v>0</v>
      </c>
      <c r="N40" s="4">
        <f t="shared" si="13"/>
        <v>10000000</v>
      </c>
      <c r="O40" s="4">
        <f>IF($A40="","",$N40*Inputs!$B$15/12)</f>
        <v>2083.3333333333335</v>
      </c>
      <c r="P40" s="4">
        <f>IF($A40="","",SUM(IF($A40=EOMONTH(Inputs!$B$3,0),Inputs!$B$4*Inputs!$B$16,0),IF(Inputs!$B$3="",0,IF($A40=EOMONTH(Inputs!$B$3,12),Inputs!$B$4*Inputs!$B$16,0)),IF(Inputs!$B$3="",0,IF($A40=EOMONTH(Inputs!$B$3,24),Inputs!$B$4*Inputs!$B$16,0))))</f>
        <v>0</v>
      </c>
      <c r="Q40" s="4">
        <f>IF($A40="","",IF(AND(Inputs!$B$18&lt;&gt;"",$A40=EOMONTH(Inputs!$B$18,0),Inputs!$B$18&lt;=Inputs!$B$23),Inputs!$B$4*Inputs!$B$17,0))</f>
        <v>0</v>
      </c>
      <c r="R40" s="4">
        <f t="shared" si="20"/>
        <v>0</v>
      </c>
      <c r="S40" s="4"/>
      <c r="T40" s="4">
        <f>IF($A40="","",IF(OR(Inputs!$B$27="",Inputs!$B$28=""),0,IF($A40&lt;Inputs!$B$27,0,IF($A40&gt;Inputs!$B$29,0,$R40/MAX(1,Inputs!$B$28-DATEDIF(Inputs!$B$27,$A40,"m"))))))</f>
        <v>0</v>
      </c>
      <c r="U40" s="4"/>
      <c r="V40" s="4">
        <f t="shared" si="14"/>
        <v>0</v>
      </c>
      <c r="W40" s="5">
        <f>IF($A40="","",MAX(Inputs!$B$14,(IF($B40="",Inputs!$B$20,$B40)+Inputs!$B$13)))</f>
        <v>8.249999999999999E-2</v>
      </c>
      <c r="X40" s="4">
        <f t="shared" si="15"/>
        <v>0</v>
      </c>
      <c r="Y40" s="4">
        <f>IF($A40="","",IF(AND(IF($U40="",0,$U40)&gt;0,Inputs!$B$24&lt;&gt;"",$A40&lt;=EOMONTH(Inputs!$B$24,0)),IF($U40="",0,$U40)*Inputs!$B$19,0))</f>
        <v>0</v>
      </c>
      <c r="Z40" s="4">
        <f t="shared" si="16"/>
        <v>0</v>
      </c>
      <c r="AA40" s="4">
        <f t="shared" si="17"/>
        <v>2083.3333333333335</v>
      </c>
      <c r="AB40" s="4">
        <f t="shared" si="18"/>
        <v>-2083.3333333333335</v>
      </c>
      <c r="AC40" s="4">
        <f>IF($A40="","",SUM($AB$2:$AB40))</f>
        <v>5094375.0000000102</v>
      </c>
    </row>
    <row r="41" spans="1:29" x14ac:dyDescent="0.45">
      <c r="A41" s="3">
        <f>IF(OR($A40="",AND(Inputs!$B$31&lt;&gt;"",EOMONTH($A40,1)&gt;Inputs!$B$31)),"",EOMONTH($A40,1))</f>
        <v>46752</v>
      </c>
      <c r="B41" s="5"/>
      <c r="C41" s="4"/>
      <c r="D41" s="5"/>
      <c r="E41" s="8">
        <f>IF($A41="","",MAX(0,(1-(IF($D41="",Inputs!$B$21,$D41)))*IF($A41&lt;=DATE(2026,7,31),9,IF($A41&lt;=DATE(2027,7,31),7.5,6))))</f>
        <v>5.6999999999999993</v>
      </c>
      <c r="F41" s="4">
        <f>IF($A41="","",(IF($C41="",Inputs!$B$22,$C41))*$E41)</f>
        <v>0</v>
      </c>
      <c r="G41" s="4">
        <f>IF($A41="","",Inputs!$B$4+IF(AND(Inputs!$B$6&lt;&gt;"",$A41&gt;=EOMONTH(Inputs!$B$6,0)),Inputs!$B$5,0))</f>
        <v>10000000</v>
      </c>
      <c r="H41" s="4">
        <f t="shared" si="19"/>
        <v>0</v>
      </c>
      <c r="I41" s="4"/>
      <c r="J41" s="4"/>
      <c r="K41" s="4">
        <f t="shared" si="11"/>
        <v>0</v>
      </c>
      <c r="L41" s="5">
        <f>IF($A41="","",MAX(Inputs!$B$14,(IF($B41="",Inputs!$B$20,$B41)+Inputs!$B$12)))</f>
        <v>0.08</v>
      </c>
      <c r="M41" s="4">
        <f t="shared" si="12"/>
        <v>0</v>
      </c>
      <c r="N41" s="4">
        <f t="shared" si="13"/>
        <v>10000000</v>
      </c>
      <c r="O41" s="4">
        <f>IF($A41="","",$N41*Inputs!$B$15/12)</f>
        <v>2083.3333333333335</v>
      </c>
      <c r="P41" s="4">
        <f>IF($A41="","",SUM(IF($A41=EOMONTH(Inputs!$B$3,0),Inputs!$B$4*Inputs!$B$16,0),IF(Inputs!$B$3="",0,IF($A41=EOMONTH(Inputs!$B$3,12),Inputs!$B$4*Inputs!$B$16,0)),IF(Inputs!$B$3="",0,IF($A41=EOMONTH(Inputs!$B$3,24),Inputs!$B$4*Inputs!$B$16,0))))</f>
        <v>0</v>
      </c>
      <c r="Q41" s="4">
        <f>IF($A41="","",IF(AND(Inputs!$B$18&lt;&gt;"",$A41=EOMONTH(Inputs!$B$18,0),Inputs!$B$18&lt;=Inputs!$B$23),Inputs!$B$4*Inputs!$B$17,0))</f>
        <v>0</v>
      </c>
      <c r="R41" s="4">
        <f t="shared" si="20"/>
        <v>0</v>
      </c>
      <c r="S41" s="4"/>
      <c r="T41" s="4">
        <f>IF($A41="","",IF(OR(Inputs!$B$27="",Inputs!$B$28=""),0,IF($A41&lt;Inputs!$B$27,0,IF($A41&gt;Inputs!$B$29,0,$R41/MAX(1,Inputs!$B$28-DATEDIF(Inputs!$B$27,$A41,"m"))))))</f>
        <v>0</v>
      </c>
      <c r="U41" s="4"/>
      <c r="V41" s="4">
        <f t="shared" si="14"/>
        <v>0</v>
      </c>
      <c r="W41" s="5">
        <f>IF($A41="","",MAX(Inputs!$B$14,(IF($B41="",Inputs!$B$20,$B41)+Inputs!$B$13)))</f>
        <v>8.249999999999999E-2</v>
      </c>
      <c r="X41" s="4">
        <f t="shared" si="15"/>
        <v>0</v>
      </c>
      <c r="Y41" s="4">
        <f>IF($A41="","",IF(AND(IF($U41="",0,$U41)&gt;0,Inputs!$B$24&lt;&gt;"",$A41&lt;=EOMONTH(Inputs!$B$24,0)),IF($U41="",0,$U41)*Inputs!$B$19,0))</f>
        <v>0</v>
      </c>
      <c r="Z41" s="4">
        <f t="shared" si="16"/>
        <v>0</v>
      </c>
      <c r="AA41" s="4">
        <f t="shared" si="17"/>
        <v>2083.3333333333335</v>
      </c>
      <c r="AB41" s="4">
        <f t="shared" si="18"/>
        <v>-2083.3333333333335</v>
      </c>
      <c r="AC41" s="4">
        <f>IF($A41="","",SUM($AB$2:$AB41))</f>
        <v>5092291.6666666772</v>
      </c>
    </row>
    <row r="42" spans="1:29" x14ac:dyDescent="0.45">
      <c r="A42" s="3">
        <f>IF(OR($A41="",AND(Inputs!$B$31&lt;&gt;"",EOMONTH($A41,1)&gt;Inputs!$B$31)),"",EOMONTH($A41,1))</f>
        <v>46783</v>
      </c>
      <c r="B42" s="5"/>
      <c r="C42" s="4"/>
      <c r="D42" s="5"/>
      <c r="E42" s="8">
        <f>IF($A42="","",MAX(0,(1-(IF($D42="",Inputs!$B$21,$D42)))*IF($A42&lt;=DATE(2026,7,31),9,IF($A42&lt;=DATE(2027,7,31),7.5,6))))</f>
        <v>5.6999999999999993</v>
      </c>
      <c r="F42" s="4">
        <f>IF($A42="","",(IF($C42="",Inputs!$B$22,$C42))*$E42)</f>
        <v>0</v>
      </c>
      <c r="G42" s="4">
        <f>IF($A42="","",Inputs!$B$4+IF(AND(Inputs!$B$6&lt;&gt;"",$A42&gt;=EOMONTH(Inputs!$B$6,0)),Inputs!$B$5,0))</f>
        <v>10000000</v>
      </c>
      <c r="H42" s="4">
        <f t="shared" si="19"/>
        <v>0</v>
      </c>
      <c r="I42" s="4"/>
      <c r="J42" s="4"/>
      <c r="K42" s="4">
        <f t="shared" si="11"/>
        <v>0</v>
      </c>
      <c r="L42" s="5">
        <f>IF($A42="","",MAX(Inputs!$B$14,(IF($B42="",Inputs!$B$20,$B42)+Inputs!$B$12)))</f>
        <v>0.08</v>
      </c>
      <c r="M42" s="4">
        <f t="shared" si="12"/>
        <v>0</v>
      </c>
      <c r="N42" s="4">
        <f t="shared" si="13"/>
        <v>10000000</v>
      </c>
      <c r="O42" s="4">
        <f>IF($A42="","",$N42*Inputs!$B$15/12)</f>
        <v>2083.3333333333335</v>
      </c>
      <c r="P42" s="4">
        <f>IF($A42="","",SUM(IF($A42=EOMONTH(Inputs!$B$3,0),Inputs!$B$4*Inputs!$B$16,0),IF(Inputs!$B$3="",0,IF($A42=EOMONTH(Inputs!$B$3,12),Inputs!$B$4*Inputs!$B$16,0)),IF(Inputs!$B$3="",0,IF($A42=EOMONTH(Inputs!$B$3,24),Inputs!$B$4*Inputs!$B$16,0))))</f>
        <v>0</v>
      </c>
      <c r="Q42" s="4">
        <f>IF($A42="","",IF(AND(Inputs!$B$18&lt;&gt;"",$A42=EOMONTH(Inputs!$B$18,0),Inputs!$B$18&lt;=Inputs!$B$23),Inputs!$B$4*Inputs!$B$17,0))</f>
        <v>0</v>
      </c>
      <c r="R42" s="4">
        <f t="shared" si="20"/>
        <v>0</v>
      </c>
      <c r="S42" s="4"/>
      <c r="T42" s="4">
        <f>IF($A42="","",IF(OR(Inputs!$B$27="",Inputs!$B$28=""),0,IF($A42&lt;Inputs!$B$27,0,IF($A42&gt;Inputs!$B$29,0,$R42/MAX(1,Inputs!$B$28-DATEDIF(Inputs!$B$27,$A42,"m"))))))</f>
        <v>0</v>
      </c>
      <c r="U42" s="4"/>
      <c r="V42" s="4">
        <f t="shared" si="14"/>
        <v>0</v>
      </c>
      <c r="W42" s="5">
        <f>IF($A42="","",MAX(Inputs!$B$14,(IF($B42="",Inputs!$B$20,$B42)+Inputs!$B$13)))</f>
        <v>8.249999999999999E-2</v>
      </c>
      <c r="X42" s="4">
        <f t="shared" si="15"/>
        <v>0</v>
      </c>
      <c r="Y42" s="4">
        <f>IF($A42="","",IF(AND(IF($U42="",0,$U42)&gt;0,Inputs!$B$24&lt;&gt;"",$A42&lt;=EOMONTH(Inputs!$B$24,0)),IF($U42="",0,$U42)*Inputs!$B$19,0))</f>
        <v>0</v>
      </c>
      <c r="Z42" s="4">
        <f t="shared" si="16"/>
        <v>0</v>
      </c>
      <c r="AA42" s="4">
        <f t="shared" si="17"/>
        <v>2083.3333333333335</v>
      </c>
      <c r="AB42" s="4">
        <f t="shared" si="18"/>
        <v>-2083.3333333333335</v>
      </c>
      <c r="AC42" s="4">
        <f>IF($A42="","",SUM($AB$2:$AB42))</f>
        <v>5090208.3333333442</v>
      </c>
    </row>
    <row r="43" spans="1:29" x14ac:dyDescent="0.45">
      <c r="A43" s="3">
        <f>IF(OR($A42="",AND(Inputs!$B$31&lt;&gt;"",EOMONTH($A42,1)&gt;Inputs!$B$31)),"",EOMONTH($A42,1))</f>
        <v>46812</v>
      </c>
      <c r="B43" s="5"/>
      <c r="C43" s="4"/>
      <c r="D43" s="5"/>
      <c r="E43" s="8">
        <f>IF($A43="","",MAX(0,(1-(IF($D43="",Inputs!$B$21,$D43)))*IF($A43&lt;=DATE(2026,7,31),9,IF($A43&lt;=DATE(2027,7,31),7.5,6))))</f>
        <v>5.6999999999999993</v>
      </c>
      <c r="F43" s="4">
        <f>IF($A43="","",(IF($C43="",Inputs!$B$22,$C43))*$E43)</f>
        <v>0</v>
      </c>
      <c r="G43" s="4">
        <f>IF($A43="","",Inputs!$B$4+IF(AND(Inputs!$B$6&lt;&gt;"",$A43&gt;=EOMONTH(Inputs!$B$6,0)),Inputs!$B$5,0))</f>
        <v>10000000</v>
      </c>
      <c r="H43" s="4">
        <f t="shared" si="19"/>
        <v>0</v>
      </c>
      <c r="I43" s="4"/>
      <c r="J43" s="4"/>
      <c r="K43" s="4">
        <f t="shared" si="11"/>
        <v>0</v>
      </c>
      <c r="L43" s="5">
        <f>IF($A43="","",MAX(Inputs!$B$14,(IF($B43="",Inputs!$B$20,$B43)+Inputs!$B$12)))</f>
        <v>0.08</v>
      </c>
      <c r="M43" s="4">
        <f t="shared" si="12"/>
        <v>0</v>
      </c>
      <c r="N43" s="4">
        <f t="shared" si="13"/>
        <v>10000000</v>
      </c>
      <c r="O43" s="4">
        <f>IF($A43="","",$N43*Inputs!$B$15/12)</f>
        <v>2083.3333333333335</v>
      </c>
      <c r="P43" s="4">
        <f>IF($A43="","",SUM(IF($A43=EOMONTH(Inputs!$B$3,0),Inputs!$B$4*Inputs!$B$16,0),IF(Inputs!$B$3="",0,IF($A43=EOMONTH(Inputs!$B$3,12),Inputs!$B$4*Inputs!$B$16,0)),IF(Inputs!$B$3="",0,IF($A43=EOMONTH(Inputs!$B$3,24),Inputs!$B$4*Inputs!$B$16,0))))</f>
        <v>0</v>
      </c>
      <c r="Q43" s="4">
        <f>IF($A43="","",IF(AND(Inputs!$B$18&lt;&gt;"",$A43=EOMONTH(Inputs!$B$18,0),Inputs!$B$18&lt;=Inputs!$B$23),Inputs!$B$4*Inputs!$B$17,0))</f>
        <v>0</v>
      </c>
      <c r="R43" s="4">
        <f t="shared" si="20"/>
        <v>0</v>
      </c>
      <c r="S43" s="4"/>
      <c r="T43" s="4">
        <f>IF($A43="","",IF(OR(Inputs!$B$27="",Inputs!$B$28=""),0,IF($A43&lt;Inputs!$B$27,0,IF($A43&gt;Inputs!$B$29,0,$R43/MAX(1,Inputs!$B$28-DATEDIF(Inputs!$B$27,$A43,"m"))))))</f>
        <v>0</v>
      </c>
      <c r="U43" s="4"/>
      <c r="V43" s="4">
        <f t="shared" si="14"/>
        <v>0</v>
      </c>
      <c r="W43" s="5">
        <f>IF($A43="","",MAX(Inputs!$B$14,(IF($B43="",Inputs!$B$20,$B43)+Inputs!$B$13)))</f>
        <v>8.249999999999999E-2</v>
      </c>
      <c r="X43" s="4">
        <f t="shared" si="15"/>
        <v>0</v>
      </c>
      <c r="Y43" s="4">
        <f>IF($A43="","",IF(AND(IF($U43="",0,$U43)&gt;0,Inputs!$B$24&lt;&gt;"",$A43&lt;=EOMONTH(Inputs!$B$24,0)),IF($U43="",0,$U43)*Inputs!$B$19,0))</f>
        <v>0</v>
      </c>
      <c r="Z43" s="4">
        <f t="shared" si="16"/>
        <v>0</v>
      </c>
      <c r="AA43" s="4">
        <f t="shared" si="17"/>
        <v>2083.3333333333335</v>
      </c>
      <c r="AB43" s="4">
        <f t="shared" si="18"/>
        <v>-2083.3333333333335</v>
      </c>
      <c r="AC43" s="4">
        <f>IF($A43="","",SUM($AB$2:$AB43))</f>
        <v>5088125.0000000112</v>
      </c>
    </row>
    <row r="44" spans="1:29" x14ac:dyDescent="0.45">
      <c r="A44" s="3">
        <f>IF(OR($A43="",AND(Inputs!$B$31&lt;&gt;"",EOMONTH($A43,1)&gt;Inputs!$B$31)),"",EOMONTH($A43,1))</f>
        <v>46843</v>
      </c>
      <c r="B44" s="5"/>
      <c r="C44" s="4"/>
      <c r="D44" s="5"/>
      <c r="E44" s="8">
        <f>IF($A44="","",MAX(0,(1-(IF($D44="",Inputs!$B$21,$D44)))*IF($A44&lt;=DATE(2026,7,31),9,IF($A44&lt;=DATE(2027,7,31),7.5,6))))</f>
        <v>5.6999999999999993</v>
      </c>
      <c r="F44" s="4">
        <f>IF($A44="","",(IF($C44="",Inputs!$B$22,$C44))*$E44)</f>
        <v>0</v>
      </c>
      <c r="G44" s="4">
        <f>IF($A44="","",Inputs!$B$4+IF(AND(Inputs!$B$6&lt;&gt;"",$A44&gt;=EOMONTH(Inputs!$B$6,0)),Inputs!$B$5,0))</f>
        <v>10000000</v>
      </c>
      <c r="H44" s="4">
        <f t="shared" si="19"/>
        <v>0</v>
      </c>
      <c r="I44" s="4"/>
      <c r="J44" s="4"/>
      <c r="K44" s="4">
        <f t="shared" si="11"/>
        <v>0</v>
      </c>
      <c r="L44" s="5">
        <f>IF($A44="","",MAX(Inputs!$B$14,(IF($B44="",Inputs!$B$20,$B44)+Inputs!$B$12)))</f>
        <v>0.08</v>
      </c>
      <c r="M44" s="4">
        <f t="shared" si="12"/>
        <v>0</v>
      </c>
      <c r="N44" s="4">
        <f t="shared" si="13"/>
        <v>10000000</v>
      </c>
      <c r="O44" s="4">
        <f>IF($A44="","",$N44*Inputs!$B$15/12)</f>
        <v>2083.3333333333335</v>
      </c>
      <c r="P44" s="4">
        <f>IF($A44="","",SUM(IF($A44=EOMONTH(Inputs!$B$3,0),Inputs!$B$4*Inputs!$B$16,0),IF(Inputs!$B$3="",0,IF($A44=EOMONTH(Inputs!$B$3,12),Inputs!$B$4*Inputs!$B$16,0)),IF(Inputs!$B$3="",0,IF($A44=EOMONTH(Inputs!$B$3,24),Inputs!$B$4*Inputs!$B$16,0))))</f>
        <v>0</v>
      </c>
      <c r="Q44" s="4">
        <f>IF($A44="","",IF(AND(Inputs!$B$18&lt;&gt;"",$A44=EOMONTH(Inputs!$B$18,0),Inputs!$B$18&lt;=Inputs!$B$23),Inputs!$B$4*Inputs!$B$17,0))</f>
        <v>0</v>
      </c>
      <c r="R44" s="4">
        <f t="shared" si="20"/>
        <v>0</v>
      </c>
      <c r="S44" s="4"/>
      <c r="T44" s="4">
        <f>IF($A44="","",IF(OR(Inputs!$B$27="",Inputs!$B$28=""),0,IF($A44&lt;Inputs!$B$27,0,IF($A44&gt;Inputs!$B$29,0,$R44/MAX(1,Inputs!$B$28-DATEDIF(Inputs!$B$27,$A44,"m"))))))</f>
        <v>0</v>
      </c>
      <c r="U44" s="4"/>
      <c r="V44" s="4">
        <f t="shared" si="14"/>
        <v>0</v>
      </c>
      <c r="W44" s="5">
        <f>IF($A44="","",MAX(Inputs!$B$14,(IF($B44="",Inputs!$B$20,$B44)+Inputs!$B$13)))</f>
        <v>8.249999999999999E-2</v>
      </c>
      <c r="X44" s="4">
        <f t="shared" si="15"/>
        <v>0</v>
      </c>
      <c r="Y44" s="4">
        <f>IF($A44="","",IF(AND(IF($U44="",0,$U44)&gt;0,Inputs!$B$24&lt;&gt;"",$A44&lt;=EOMONTH(Inputs!$B$24,0)),IF($U44="",0,$U44)*Inputs!$B$19,0))</f>
        <v>0</v>
      </c>
      <c r="Z44" s="4">
        <f t="shared" si="16"/>
        <v>0</v>
      </c>
      <c r="AA44" s="4">
        <f t="shared" si="17"/>
        <v>2083.3333333333335</v>
      </c>
      <c r="AB44" s="4">
        <f t="shared" si="18"/>
        <v>-2083.3333333333335</v>
      </c>
      <c r="AC44" s="4">
        <f>IF($A44="","",SUM($AB$2:$AB44))</f>
        <v>5086041.6666666782</v>
      </c>
    </row>
    <row r="45" spans="1:29" x14ac:dyDescent="0.45">
      <c r="A45" s="3">
        <f>IF(OR($A44="",AND(Inputs!$B$31&lt;&gt;"",EOMONTH($A44,1)&gt;Inputs!$B$31)),"",EOMONTH($A44,1))</f>
        <v>46873</v>
      </c>
      <c r="B45" s="5"/>
      <c r="C45" s="4"/>
      <c r="D45" s="5"/>
      <c r="E45" s="8">
        <f>IF($A45="","",MAX(0,(1-(IF($D45="",Inputs!$B$21,$D45)))*IF($A45&lt;=DATE(2026,7,31),9,IF($A45&lt;=DATE(2027,7,31),7.5,6))))</f>
        <v>5.6999999999999993</v>
      </c>
      <c r="F45" s="4">
        <f>IF($A45="","",(IF($C45="",Inputs!$B$22,$C45))*$E45)</f>
        <v>0</v>
      </c>
      <c r="G45" s="4">
        <f>IF($A45="","",Inputs!$B$4+IF(AND(Inputs!$B$6&lt;&gt;"",$A45&gt;=EOMONTH(Inputs!$B$6,0)),Inputs!$B$5,0))</f>
        <v>10000000</v>
      </c>
      <c r="H45" s="4">
        <f t="shared" si="19"/>
        <v>0</v>
      </c>
      <c r="I45" s="4"/>
      <c r="J45" s="4"/>
      <c r="K45" s="4">
        <f t="shared" si="11"/>
        <v>0</v>
      </c>
      <c r="L45" s="5">
        <f>IF($A45="","",MAX(Inputs!$B$14,(IF($B45="",Inputs!$B$20,$B45)+Inputs!$B$12)))</f>
        <v>0.08</v>
      </c>
      <c r="M45" s="4">
        <f t="shared" si="12"/>
        <v>0</v>
      </c>
      <c r="N45" s="4">
        <f t="shared" si="13"/>
        <v>10000000</v>
      </c>
      <c r="O45" s="4">
        <f>IF($A45="","",$N45*Inputs!$B$15/12)</f>
        <v>2083.3333333333335</v>
      </c>
      <c r="P45" s="4">
        <f>IF($A45="","",SUM(IF($A45=EOMONTH(Inputs!$B$3,0),Inputs!$B$4*Inputs!$B$16,0),IF(Inputs!$B$3="",0,IF($A45=EOMONTH(Inputs!$B$3,12),Inputs!$B$4*Inputs!$B$16,0)),IF(Inputs!$B$3="",0,IF($A45=EOMONTH(Inputs!$B$3,24),Inputs!$B$4*Inputs!$B$16,0))))</f>
        <v>0</v>
      </c>
      <c r="Q45" s="4">
        <f>IF($A45="","",IF(AND(Inputs!$B$18&lt;&gt;"",$A45=EOMONTH(Inputs!$B$18,0),Inputs!$B$18&lt;=Inputs!$B$23),Inputs!$B$4*Inputs!$B$17,0))</f>
        <v>0</v>
      </c>
      <c r="R45" s="4">
        <f t="shared" si="20"/>
        <v>0</v>
      </c>
      <c r="S45" s="4"/>
      <c r="T45" s="4">
        <f>IF($A45="","",IF(OR(Inputs!$B$27="",Inputs!$B$28=""),0,IF($A45&lt;Inputs!$B$27,0,IF($A45&gt;Inputs!$B$29,0,$R45/MAX(1,Inputs!$B$28-DATEDIF(Inputs!$B$27,$A45,"m"))))))</f>
        <v>0</v>
      </c>
      <c r="U45" s="4"/>
      <c r="V45" s="4">
        <f t="shared" si="14"/>
        <v>0</v>
      </c>
      <c r="W45" s="5">
        <f>IF($A45="","",MAX(Inputs!$B$14,(IF($B45="",Inputs!$B$20,$B45)+Inputs!$B$13)))</f>
        <v>8.249999999999999E-2</v>
      </c>
      <c r="X45" s="4">
        <f t="shared" si="15"/>
        <v>0</v>
      </c>
      <c r="Y45" s="4">
        <f>IF($A45="","",IF(AND(IF($U45="",0,$U45)&gt;0,Inputs!$B$24&lt;&gt;"",$A45&lt;=EOMONTH(Inputs!$B$24,0)),IF($U45="",0,$U45)*Inputs!$B$19,0))</f>
        <v>0</v>
      </c>
      <c r="Z45" s="4">
        <f t="shared" si="16"/>
        <v>0</v>
      </c>
      <c r="AA45" s="4">
        <f t="shared" si="17"/>
        <v>2083.3333333333335</v>
      </c>
      <c r="AB45" s="4">
        <f t="shared" si="18"/>
        <v>-2083.3333333333335</v>
      </c>
      <c r="AC45" s="4">
        <f>IF($A45="","",SUM($AB$2:$AB45))</f>
        <v>5083958.3333333451</v>
      </c>
    </row>
    <row r="46" spans="1:29" x14ac:dyDescent="0.45">
      <c r="A46" s="3">
        <f>IF(OR($A45="",AND(Inputs!$B$31&lt;&gt;"",EOMONTH($A45,1)&gt;Inputs!$B$31)),"",EOMONTH($A45,1))</f>
        <v>46904</v>
      </c>
      <c r="B46" s="5"/>
      <c r="C46" s="4"/>
      <c r="D46" s="5"/>
      <c r="E46" s="8">
        <f>IF($A46="","",MAX(0,(1-(IF($D46="",Inputs!$B$21,$D46)))*IF($A46&lt;=DATE(2026,7,31),9,IF($A46&lt;=DATE(2027,7,31),7.5,6))))</f>
        <v>5.6999999999999993</v>
      </c>
      <c r="F46" s="4">
        <f>IF($A46="","",(IF($C46="",Inputs!$B$22,$C46))*$E46)</f>
        <v>0</v>
      </c>
      <c r="G46" s="4">
        <f>IF($A46="","",Inputs!$B$4+IF(AND(Inputs!$B$6&lt;&gt;"",$A46&gt;=EOMONTH(Inputs!$B$6,0)),Inputs!$B$5,0))</f>
        <v>10000000</v>
      </c>
      <c r="H46" s="4">
        <f t="shared" si="19"/>
        <v>0</v>
      </c>
      <c r="I46" s="4"/>
      <c r="J46" s="4"/>
      <c r="K46" s="4">
        <f t="shared" si="11"/>
        <v>0</v>
      </c>
      <c r="L46" s="5">
        <f>IF($A46="","",MAX(Inputs!$B$14,(IF($B46="",Inputs!$B$20,$B46)+Inputs!$B$12)))</f>
        <v>0.08</v>
      </c>
      <c r="M46" s="4">
        <f t="shared" si="12"/>
        <v>0</v>
      </c>
      <c r="N46" s="4">
        <f t="shared" si="13"/>
        <v>10000000</v>
      </c>
      <c r="O46" s="4">
        <f>IF($A46="","",$N46*Inputs!$B$15/12)</f>
        <v>2083.3333333333335</v>
      </c>
      <c r="P46" s="4">
        <f>IF($A46="","",SUM(IF($A46=EOMONTH(Inputs!$B$3,0),Inputs!$B$4*Inputs!$B$16,0),IF(Inputs!$B$3="",0,IF($A46=EOMONTH(Inputs!$B$3,12),Inputs!$B$4*Inputs!$B$16,0)),IF(Inputs!$B$3="",0,IF($A46=EOMONTH(Inputs!$B$3,24),Inputs!$B$4*Inputs!$B$16,0))))</f>
        <v>0</v>
      </c>
      <c r="Q46" s="4">
        <f>IF($A46="","",IF(AND(Inputs!$B$18&lt;&gt;"",$A46=EOMONTH(Inputs!$B$18,0),Inputs!$B$18&lt;=Inputs!$B$23),Inputs!$B$4*Inputs!$B$17,0))</f>
        <v>0</v>
      </c>
      <c r="R46" s="4">
        <f t="shared" si="20"/>
        <v>0</v>
      </c>
      <c r="S46" s="4"/>
      <c r="T46" s="4">
        <f>IF($A46="","",IF(OR(Inputs!$B$27="",Inputs!$B$28=""),0,IF($A46&lt;Inputs!$B$27,0,IF($A46&gt;Inputs!$B$29,0,$R46/MAX(1,Inputs!$B$28-DATEDIF(Inputs!$B$27,$A46,"m"))))))</f>
        <v>0</v>
      </c>
      <c r="U46" s="4"/>
      <c r="V46" s="4">
        <f t="shared" si="14"/>
        <v>0</v>
      </c>
      <c r="W46" s="5">
        <f>IF($A46="","",MAX(Inputs!$B$14,(IF($B46="",Inputs!$B$20,$B46)+Inputs!$B$13)))</f>
        <v>8.249999999999999E-2</v>
      </c>
      <c r="X46" s="4">
        <f t="shared" si="15"/>
        <v>0</v>
      </c>
      <c r="Y46" s="4">
        <f>IF($A46="","",IF(AND(IF($U46="",0,$U46)&gt;0,Inputs!$B$24&lt;&gt;"",$A46&lt;=EOMONTH(Inputs!$B$24,0)),IF($U46="",0,$U46)*Inputs!$B$19,0))</f>
        <v>0</v>
      </c>
      <c r="Z46" s="4">
        <f t="shared" si="16"/>
        <v>0</v>
      </c>
      <c r="AA46" s="4">
        <f t="shared" si="17"/>
        <v>2083.3333333333335</v>
      </c>
      <c r="AB46" s="4">
        <f t="shared" si="18"/>
        <v>-2083.3333333333335</v>
      </c>
      <c r="AC46" s="4">
        <f>IF($A46="","",SUM($AB$2:$AB46))</f>
        <v>5081875.0000000121</v>
      </c>
    </row>
    <row r="47" spans="1:29" x14ac:dyDescent="0.45">
      <c r="A47" s="3">
        <f>IF(OR($A46="",AND(Inputs!$B$31&lt;&gt;"",EOMONTH($A46,1)&gt;Inputs!$B$31)),"",EOMONTH($A46,1))</f>
        <v>46934</v>
      </c>
      <c r="B47" s="5"/>
      <c r="C47" s="4"/>
      <c r="D47" s="5"/>
      <c r="E47" s="8">
        <f>IF($A47="","",MAX(0,(1-(IF($D47="",Inputs!$B$21,$D47)))*IF($A47&lt;=DATE(2026,7,31),9,IF($A47&lt;=DATE(2027,7,31),7.5,6))))</f>
        <v>5.6999999999999993</v>
      </c>
      <c r="F47" s="4">
        <f>IF($A47="","",(IF($C47="",Inputs!$B$22,$C47))*$E47)</f>
        <v>0</v>
      </c>
      <c r="G47" s="4">
        <f>IF($A47="","",Inputs!$B$4+IF(AND(Inputs!$B$6&lt;&gt;"",$A47&gt;=EOMONTH(Inputs!$B$6,0)),Inputs!$B$5,0))</f>
        <v>10000000</v>
      </c>
      <c r="H47" s="4">
        <f t="shared" si="19"/>
        <v>0</v>
      </c>
      <c r="I47" s="4"/>
      <c r="J47" s="4"/>
      <c r="K47" s="4">
        <f t="shared" si="11"/>
        <v>0</v>
      </c>
      <c r="L47" s="5">
        <f>IF($A47="","",MAX(Inputs!$B$14,(IF($B47="",Inputs!$B$20,$B47)+Inputs!$B$12)))</f>
        <v>0.08</v>
      </c>
      <c r="M47" s="4">
        <f t="shared" si="12"/>
        <v>0</v>
      </c>
      <c r="N47" s="4">
        <f t="shared" si="13"/>
        <v>10000000</v>
      </c>
      <c r="O47" s="4">
        <f>IF($A47="","",$N47*Inputs!$B$15/12)</f>
        <v>2083.3333333333335</v>
      </c>
      <c r="P47" s="4">
        <f>IF($A47="","",SUM(IF($A47=EOMONTH(Inputs!$B$3,0),Inputs!$B$4*Inputs!$B$16,0),IF(Inputs!$B$3="",0,IF($A47=EOMONTH(Inputs!$B$3,12),Inputs!$B$4*Inputs!$B$16,0)),IF(Inputs!$B$3="",0,IF($A47=EOMONTH(Inputs!$B$3,24),Inputs!$B$4*Inputs!$B$16,0))))</f>
        <v>0</v>
      </c>
      <c r="Q47" s="4">
        <f>IF($A47="","",IF(AND(Inputs!$B$18&lt;&gt;"",$A47=EOMONTH(Inputs!$B$18,0),Inputs!$B$18&lt;=Inputs!$B$23),Inputs!$B$4*Inputs!$B$17,0))</f>
        <v>0</v>
      </c>
      <c r="R47" s="4">
        <f t="shared" si="20"/>
        <v>0</v>
      </c>
      <c r="S47" s="4"/>
      <c r="T47" s="4">
        <f>IF($A47="","",IF(OR(Inputs!$B$27="",Inputs!$B$28=""),0,IF($A47&lt;Inputs!$B$27,0,IF($A47&gt;Inputs!$B$29,0,$R47/MAX(1,Inputs!$B$28-DATEDIF(Inputs!$B$27,$A47,"m"))))))</f>
        <v>0</v>
      </c>
      <c r="U47" s="4"/>
      <c r="V47" s="4">
        <f t="shared" si="14"/>
        <v>0</v>
      </c>
      <c r="W47" s="5">
        <f>IF($A47="","",MAX(Inputs!$B$14,(IF($B47="",Inputs!$B$20,$B47)+Inputs!$B$13)))</f>
        <v>8.249999999999999E-2</v>
      </c>
      <c r="X47" s="4">
        <f t="shared" si="15"/>
        <v>0</v>
      </c>
      <c r="Y47" s="4">
        <f>IF($A47="","",IF(AND(IF($U47="",0,$U47)&gt;0,Inputs!$B$24&lt;&gt;"",$A47&lt;=EOMONTH(Inputs!$B$24,0)),IF($U47="",0,$U47)*Inputs!$B$19,0))</f>
        <v>0</v>
      </c>
      <c r="Z47" s="4">
        <f t="shared" si="16"/>
        <v>0</v>
      </c>
      <c r="AA47" s="4">
        <f t="shared" si="17"/>
        <v>2083.3333333333335</v>
      </c>
      <c r="AB47" s="4">
        <f t="shared" si="18"/>
        <v>-2083.3333333333335</v>
      </c>
      <c r="AC47" s="4">
        <f>IF($A47="","",SUM($AB$2:$AB47))</f>
        <v>5079791.6666666791</v>
      </c>
    </row>
    <row r="48" spans="1:29" x14ac:dyDescent="0.45">
      <c r="A48" s="3">
        <f>IF(OR($A47="",AND(Inputs!$B$31&lt;&gt;"",EOMONTH($A47,1)&gt;Inputs!$B$31)),"",EOMONTH($A47,1))</f>
        <v>46965</v>
      </c>
      <c r="B48" s="5"/>
      <c r="C48" s="4"/>
      <c r="D48" s="5"/>
      <c r="E48" s="8">
        <f>IF($A48="","",MAX(0,(1-(IF($D48="",Inputs!$B$21,$D48)))*IF($A48&lt;=DATE(2026,7,31),9,IF($A48&lt;=DATE(2027,7,31),7.5,6))))</f>
        <v>5.6999999999999993</v>
      </c>
      <c r="F48" s="4">
        <f>IF($A48="","",(IF($C48="",Inputs!$B$22,$C48))*$E48)</f>
        <v>0</v>
      </c>
      <c r="G48" s="4">
        <f>IF($A48="","",Inputs!$B$4+IF(AND(Inputs!$B$6&lt;&gt;"",$A48&gt;=EOMONTH(Inputs!$B$6,0)),Inputs!$B$5,0))</f>
        <v>10000000</v>
      </c>
      <c r="H48" s="4">
        <f t="shared" si="19"/>
        <v>0</v>
      </c>
      <c r="I48" s="4"/>
      <c r="J48" s="4"/>
      <c r="K48" s="4">
        <f t="shared" si="11"/>
        <v>0</v>
      </c>
      <c r="L48" s="5">
        <f>IF($A48="","",MAX(Inputs!$B$14,(IF($B48="",Inputs!$B$20,$B48)+Inputs!$B$12)))</f>
        <v>0.08</v>
      </c>
      <c r="M48" s="4">
        <f t="shared" si="12"/>
        <v>0</v>
      </c>
      <c r="N48" s="4">
        <f t="shared" si="13"/>
        <v>10000000</v>
      </c>
      <c r="O48" s="4">
        <f>IF($A48="","",$N48*Inputs!$B$15/12)</f>
        <v>2083.3333333333335</v>
      </c>
      <c r="P48" s="4">
        <f>IF($A48="","",SUM(IF($A48=EOMONTH(Inputs!$B$3,0),Inputs!$B$4*Inputs!$B$16,0),IF(Inputs!$B$3="",0,IF($A48=EOMONTH(Inputs!$B$3,12),Inputs!$B$4*Inputs!$B$16,0)),IF(Inputs!$B$3="",0,IF($A48=EOMONTH(Inputs!$B$3,24),Inputs!$B$4*Inputs!$B$16,0))))</f>
        <v>0</v>
      </c>
      <c r="Q48" s="4">
        <f>IF($A48="","",IF(AND(Inputs!$B$18&lt;&gt;"",$A48=EOMONTH(Inputs!$B$18,0),Inputs!$B$18&lt;=Inputs!$B$23),Inputs!$B$4*Inputs!$B$17,0))</f>
        <v>0</v>
      </c>
      <c r="R48" s="4">
        <f t="shared" si="20"/>
        <v>0</v>
      </c>
      <c r="S48" s="4"/>
      <c r="T48" s="4">
        <f>IF($A48="","",IF(OR(Inputs!$B$27="",Inputs!$B$28=""),0,IF($A48&lt;Inputs!$B$27,0,IF($A48&gt;Inputs!$B$29,0,$R48/MAX(1,Inputs!$B$28-DATEDIF(Inputs!$B$27,$A48,"m"))))))</f>
        <v>0</v>
      </c>
      <c r="U48" s="4"/>
      <c r="V48" s="4">
        <f t="shared" si="14"/>
        <v>0</v>
      </c>
      <c r="W48" s="5">
        <f>IF($A48="","",MAX(Inputs!$B$14,(IF($B48="",Inputs!$B$20,$B48)+Inputs!$B$13)))</f>
        <v>8.249999999999999E-2</v>
      </c>
      <c r="X48" s="4">
        <f t="shared" si="15"/>
        <v>0</v>
      </c>
      <c r="Y48" s="4">
        <f>IF($A48="","",IF(AND(IF($U48="",0,$U48)&gt;0,Inputs!$B$24&lt;&gt;"",$A48&lt;=EOMONTH(Inputs!$B$24,0)),IF($U48="",0,$U48)*Inputs!$B$19,0))</f>
        <v>0</v>
      </c>
      <c r="Z48" s="4">
        <f t="shared" si="16"/>
        <v>0</v>
      </c>
      <c r="AA48" s="4">
        <f t="shared" si="17"/>
        <v>2083.3333333333335</v>
      </c>
      <c r="AB48" s="4">
        <f t="shared" si="18"/>
        <v>-2083.3333333333335</v>
      </c>
      <c r="AC48" s="4">
        <f>IF($A48="","",SUM($AB$2:$AB48))</f>
        <v>5077708.3333333461</v>
      </c>
    </row>
    <row r="49" spans="1:29" x14ac:dyDescent="0.45">
      <c r="A49" s="3">
        <f>IF(OR($A48="",AND(Inputs!$B$31&lt;&gt;"",EOMONTH($A48,1)&gt;Inputs!$B$31)),"",EOMONTH($A48,1))</f>
        <v>46996</v>
      </c>
      <c r="B49" s="5"/>
      <c r="C49" s="4"/>
      <c r="D49" s="5"/>
      <c r="E49" s="8">
        <f>IF($A49="","",MAX(0,(1-(IF($D49="",Inputs!$B$21,$D49)))*IF($A49&lt;=DATE(2026,7,31),9,IF($A49&lt;=DATE(2027,7,31),7.5,6))))</f>
        <v>5.6999999999999993</v>
      </c>
      <c r="F49" s="4">
        <f>IF($A49="","",(IF($C49="",Inputs!$B$22,$C49))*$E49)</f>
        <v>0</v>
      </c>
      <c r="G49" s="4">
        <f>IF($A49="","",Inputs!$B$4+IF(AND(Inputs!$B$6&lt;&gt;"",$A49&gt;=EOMONTH(Inputs!$B$6,0)),Inputs!$B$5,0))</f>
        <v>10000000</v>
      </c>
      <c r="H49" s="4">
        <f t="shared" si="19"/>
        <v>0</v>
      </c>
      <c r="I49" s="4"/>
      <c r="J49" s="4"/>
      <c r="K49" s="4">
        <f t="shared" si="11"/>
        <v>0</v>
      </c>
      <c r="L49" s="5">
        <f>IF($A49="","",MAX(Inputs!$B$14,(IF($B49="",Inputs!$B$20,$B49)+Inputs!$B$12)))</f>
        <v>0.08</v>
      </c>
      <c r="M49" s="4">
        <f t="shared" si="12"/>
        <v>0</v>
      </c>
      <c r="N49" s="4">
        <f t="shared" si="13"/>
        <v>10000000</v>
      </c>
      <c r="O49" s="4">
        <f>IF($A49="","",$N49*Inputs!$B$15/12)</f>
        <v>2083.3333333333335</v>
      </c>
      <c r="P49" s="4">
        <f>IF($A49="","",SUM(IF($A49=EOMONTH(Inputs!$B$3,0),Inputs!$B$4*Inputs!$B$16,0),IF(Inputs!$B$3="",0,IF($A49=EOMONTH(Inputs!$B$3,12),Inputs!$B$4*Inputs!$B$16,0)),IF(Inputs!$B$3="",0,IF($A49=EOMONTH(Inputs!$B$3,24),Inputs!$B$4*Inputs!$B$16,0))))</f>
        <v>0</v>
      </c>
      <c r="Q49" s="4">
        <f>IF($A49="","",IF(AND(Inputs!$B$18&lt;&gt;"",$A49=EOMONTH(Inputs!$B$18,0),Inputs!$B$18&lt;=Inputs!$B$23),Inputs!$B$4*Inputs!$B$17,0))</f>
        <v>0</v>
      </c>
      <c r="R49" s="4">
        <f t="shared" si="20"/>
        <v>0</v>
      </c>
      <c r="S49" s="4"/>
      <c r="T49" s="4">
        <f>IF($A49="","",IF(OR(Inputs!$B$27="",Inputs!$B$28=""),0,IF($A49&lt;Inputs!$B$27,0,IF($A49&gt;Inputs!$B$29,0,$R49/MAX(1,Inputs!$B$28-DATEDIF(Inputs!$B$27,$A49,"m"))))))</f>
        <v>0</v>
      </c>
      <c r="U49" s="4"/>
      <c r="V49" s="4">
        <f t="shared" si="14"/>
        <v>0</v>
      </c>
      <c r="W49" s="5">
        <f>IF($A49="","",MAX(Inputs!$B$14,(IF($B49="",Inputs!$B$20,$B49)+Inputs!$B$13)))</f>
        <v>8.249999999999999E-2</v>
      </c>
      <c r="X49" s="4">
        <f t="shared" si="15"/>
        <v>0</v>
      </c>
      <c r="Y49" s="4">
        <f>IF($A49="","",IF(AND(IF($U49="",0,$U49)&gt;0,Inputs!$B$24&lt;&gt;"",$A49&lt;=EOMONTH(Inputs!$B$24,0)),IF($U49="",0,$U49)*Inputs!$B$19,0))</f>
        <v>0</v>
      </c>
      <c r="Z49" s="4">
        <f t="shared" si="16"/>
        <v>0</v>
      </c>
      <c r="AA49" s="4">
        <f t="shared" si="17"/>
        <v>2083.3333333333335</v>
      </c>
      <c r="AB49" s="4">
        <f t="shared" si="18"/>
        <v>-2083.3333333333335</v>
      </c>
      <c r="AC49" s="4">
        <f>IF($A49="","",SUM($AB$2:$AB49))</f>
        <v>5075625.000000013</v>
      </c>
    </row>
    <row r="50" spans="1:29" x14ac:dyDescent="0.45">
      <c r="A50" s="3">
        <f>IF(OR($A49="",AND(Inputs!$B$31&lt;&gt;"",EOMONTH($A49,1)&gt;Inputs!$B$31)),"",EOMONTH($A49,1))</f>
        <v>47026</v>
      </c>
      <c r="B50" s="5"/>
      <c r="C50" s="4"/>
      <c r="D50" s="5"/>
      <c r="E50" s="8">
        <f>IF($A50="","",MAX(0,(1-(IF($D50="",Inputs!$B$21,$D50)))*IF($A50&lt;=DATE(2026,7,31),9,IF($A50&lt;=DATE(2027,7,31),7.5,6))))</f>
        <v>5.6999999999999993</v>
      </c>
      <c r="F50" s="4">
        <f>IF($A50="","",(IF($C50="",Inputs!$B$22,$C50))*$E50)</f>
        <v>0</v>
      </c>
      <c r="G50" s="4">
        <f>IF($A50="","",Inputs!$B$4+IF(AND(Inputs!$B$6&lt;&gt;"",$A50&gt;=EOMONTH(Inputs!$B$6,0)),Inputs!$B$5,0))</f>
        <v>10000000</v>
      </c>
      <c r="H50" s="4">
        <f t="shared" si="19"/>
        <v>0</v>
      </c>
      <c r="I50" s="4"/>
      <c r="J50" s="4"/>
      <c r="K50" s="4">
        <f t="shared" si="11"/>
        <v>0</v>
      </c>
      <c r="L50" s="5">
        <f>IF($A50="","",MAX(Inputs!$B$14,(IF($B50="",Inputs!$B$20,$B50)+Inputs!$B$12)))</f>
        <v>0.08</v>
      </c>
      <c r="M50" s="4">
        <f t="shared" si="12"/>
        <v>0</v>
      </c>
      <c r="N50" s="4">
        <f t="shared" si="13"/>
        <v>10000000</v>
      </c>
      <c r="O50" s="4">
        <f>IF($A50="","",$N50*Inputs!$B$15/12)</f>
        <v>2083.3333333333335</v>
      </c>
      <c r="P50" s="4">
        <f>IF($A50="","",SUM(IF($A50=EOMONTH(Inputs!$B$3,0),Inputs!$B$4*Inputs!$B$16,0),IF(Inputs!$B$3="",0,IF($A50=EOMONTH(Inputs!$B$3,12),Inputs!$B$4*Inputs!$B$16,0)),IF(Inputs!$B$3="",0,IF($A50=EOMONTH(Inputs!$B$3,24),Inputs!$B$4*Inputs!$B$16,0))))</f>
        <v>0</v>
      </c>
      <c r="Q50" s="4">
        <f>IF($A50="","",IF(AND(Inputs!$B$18&lt;&gt;"",$A50=EOMONTH(Inputs!$B$18,0),Inputs!$B$18&lt;=Inputs!$B$23),Inputs!$B$4*Inputs!$B$17,0))</f>
        <v>0</v>
      </c>
      <c r="R50" s="4">
        <f t="shared" si="20"/>
        <v>0</v>
      </c>
      <c r="S50" s="4"/>
      <c r="T50" s="4">
        <f>IF($A50="","",IF(OR(Inputs!$B$27="",Inputs!$B$28=""),0,IF($A50&lt;Inputs!$B$27,0,IF($A50&gt;Inputs!$B$29,0,$R50/MAX(1,Inputs!$B$28-DATEDIF(Inputs!$B$27,$A50,"m"))))))</f>
        <v>0</v>
      </c>
      <c r="U50" s="4"/>
      <c r="V50" s="4">
        <f t="shared" si="14"/>
        <v>0</v>
      </c>
      <c r="W50" s="5">
        <f>IF($A50="","",MAX(Inputs!$B$14,(IF($B50="",Inputs!$B$20,$B50)+Inputs!$B$13)))</f>
        <v>8.249999999999999E-2</v>
      </c>
      <c r="X50" s="4">
        <f t="shared" si="15"/>
        <v>0</v>
      </c>
      <c r="Y50" s="4">
        <f>IF($A50="","",IF(AND(IF($U50="",0,$U50)&gt;0,Inputs!$B$24&lt;&gt;"",$A50&lt;=EOMONTH(Inputs!$B$24,0)),IF($U50="",0,$U50)*Inputs!$B$19,0))</f>
        <v>0</v>
      </c>
      <c r="Z50" s="4">
        <f t="shared" si="16"/>
        <v>0</v>
      </c>
      <c r="AA50" s="4">
        <f t="shared" si="17"/>
        <v>2083.3333333333335</v>
      </c>
      <c r="AB50" s="4">
        <f t="shared" si="18"/>
        <v>-2083.3333333333335</v>
      </c>
      <c r="AC50" s="4">
        <f>IF($A50="","",SUM($AB$2:$AB50))</f>
        <v>5073541.66666668</v>
      </c>
    </row>
    <row r="51" spans="1:29" x14ac:dyDescent="0.45">
      <c r="A51" s="3">
        <f>IF(OR($A50="",AND(Inputs!$B$31&lt;&gt;"",EOMONTH($A50,1)&gt;Inputs!$B$31)),"",EOMONTH($A50,1))</f>
        <v>47057</v>
      </c>
      <c r="B51" s="5"/>
      <c r="C51" s="4"/>
      <c r="D51" s="5"/>
      <c r="E51" s="8">
        <f>IF($A51="","",MAX(0,(1-(IF($D51="",Inputs!$B$21,$D51)))*IF($A51&lt;=DATE(2026,7,31),9,IF($A51&lt;=DATE(2027,7,31),7.5,6))))</f>
        <v>5.6999999999999993</v>
      </c>
      <c r="F51" s="4">
        <f>IF($A51="","",(IF($C51="",Inputs!$B$22,$C51))*$E51)</f>
        <v>0</v>
      </c>
      <c r="G51" s="4">
        <f>IF($A51="","",Inputs!$B$4+IF(AND(Inputs!$B$6&lt;&gt;"",$A51&gt;=EOMONTH(Inputs!$B$6,0)),Inputs!$B$5,0))</f>
        <v>10000000</v>
      </c>
      <c r="H51" s="4">
        <f t="shared" si="19"/>
        <v>0</v>
      </c>
      <c r="I51" s="4"/>
      <c r="J51" s="4"/>
      <c r="K51" s="4">
        <f t="shared" si="11"/>
        <v>0</v>
      </c>
      <c r="L51" s="5">
        <f>IF($A51="","",MAX(Inputs!$B$14,(IF($B51="",Inputs!$B$20,$B51)+Inputs!$B$12)))</f>
        <v>0.08</v>
      </c>
      <c r="M51" s="4">
        <f t="shared" si="12"/>
        <v>0</v>
      </c>
      <c r="N51" s="4">
        <f t="shared" si="13"/>
        <v>10000000</v>
      </c>
      <c r="O51" s="4">
        <f>IF($A51="","",$N51*Inputs!$B$15/12)</f>
        <v>2083.3333333333335</v>
      </c>
      <c r="P51" s="4">
        <f>IF($A51="","",SUM(IF($A51=EOMONTH(Inputs!$B$3,0),Inputs!$B$4*Inputs!$B$16,0),IF(Inputs!$B$3="",0,IF($A51=EOMONTH(Inputs!$B$3,12),Inputs!$B$4*Inputs!$B$16,0)),IF(Inputs!$B$3="",0,IF($A51=EOMONTH(Inputs!$B$3,24),Inputs!$B$4*Inputs!$B$16,0))))</f>
        <v>0</v>
      </c>
      <c r="Q51" s="4">
        <f>IF($A51="","",IF(AND(Inputs!$B$18&lt;&gt;"",$A51=EOMONTH(Inputs!$B$18,0),Inputs!$B$18&lt;=Inputs!$B$23),Inputs!$B$4*Inputs!$B$17,0))</f>
        <v>0</v>
      </c>
      <c r="R51" s="4">
        <f t="shared" si="20"/>
        <v>0</v>
      </c>
      <c r="S51" s="4"/>
      <c r="T51" s="4">
        <f>IF($A51="","",IF(OR(Inputs!$B$27="",Inputs!$B$28=""),0,IF($A51&lt;Inputs!$B$27,0,IF($A51&gt;Inputs!$B$29,0,$R51/MAX(1,Inputs!$B$28-DATEDIF(Inputs!$B$27,$A51,"m"))))))</f>
        <v>0</v>
      </c>
      <c r="U51" s="4"/>
      <c r="V51" s="4">
        <f t="shared" si="14"/>
        <v>0</v>
      </c>
      <c r="W51" s="5">
        <f>IF($A51="","",MAX(Inputs!$B$14,(IF($B51="",Inputs!$B$20,$B51)+Inputs!$B$13)))</f>
        <v>8.249999999999999E-2</v>
      </c>
      <c r="X51" s="4">
        <f t="shared" si="15"/>
        <v>0</v>
      </c>
      <c r="Y51" s="4">
        <f>IF($A51="","",IF(AND(IF($U51="",0,$U51)&gt;0,Inputs!$B$24&lt;&gt;"",$A51&lt;=EOMONTH(Inputs!$B$24,0)),IF($U51="",0,$U51)*Inputs!$B$19,0))</f>
        <v>0</v>
      </c>
      <c r="Z51" s="4">
        <f t="shared" si="16"/>
        <v>0</v>
      </c>
      <c r="AA51" s="4">
        <f t="shared" si="17"/>
        <v>2083.3333333333335</v>
      </c>
      <c r="AB51" s="4">
        <f t="shared" si="18"/>
        <v>-2083.3333333333335</v>
      </c>
      <c r="AC51" s="4">
        <f>IF($A51="","",SUM($AB$2:$AB51))</f>
        <v>5071458.333333347</v>
      </c>
    </row>
    <row r="52" spans="1:29" x14ac:dyDescent="0.45">
      <c r="A52" s="3">
        <f>IF(OR($A51="",AND(Inputs!$B$31&lt;&gt;"",EOMONTH($A51,1)&gt;Inputs!$B$31)),"",EOMONTH($A51,1))</f>
        <v>47087</v>
      </c>
      <c r="B52" s="5"/>
      <c r="C52" s="4"/>
      <c r="D52" s="5"/>
      <c r="E52" s="8">
        <f>IF($A52="","",MAX(0,(1-(IF($D52="",Inputs!$B$21,$D52)))*IF($A52&lt;=DATE(2026,7,31),9,IF($A52&lt;=DATE(2027,7,31),7.5,6))))</f>
        <v>5.6999999999999993</v>
      </c>
      <c r="F52" s="4">
        <f>IF($A52="","",(IF($C52="",Inputs!$B$22,$C52))*$E52)</f>
        <v>0</v>
      </c>
      <c r="G52" s="4">
        <f>IF($A52="","",Inputs!$B$4+IF(AND(Inputs!$B$6&lt;&gt;"",$A52&gt;=EOMONTH(Inputs!$B$6,0)),Inputs!$B$5,0))</f>
        <v>10000000</v>
      </c>
      <c r="H52" s="4">
        <f t="shared" si="19"/>
        <v>0</v>
      </c>
      <c r="I52" s="4"/>
      <c r="J52" s="4"/>
      <c r="K52" s="4">
        <f t="shared" si="11"/>
        <v>0</v>
      </c>
      <c r="L52" s="5">
        <f>IF($A52="","",MAX(Inputs!$B$14,(IF($B52="",Inputs!$B$20,$B52)+Inputs!$B$12)))</f>
        <v>0.08</v>
      </c>
      <c r="M52" s="4">
        <f t="shared" si="12"/>
        <v>0</v>
      </c>
      <c r="N52" s="4">
        <f t="shared" si="13"/>
        <v>10000000</v>
      </c>
      <c r="O52" s="4">
        <f>IF($A52="","",$N52*Inputs!$B$15/12)</f>
        <v>2083.3333333333335</v>
      </c>
      <c r="P52" s="4">
        <f>IF($A52="","",SUM(IF($A52=EOMONTH(Inputs!$B$3,0),Inputs!$B$4*Inputs!$B$16,0),IF(Inputs!$B$3="",0,IF($A52=EOMONTH(Inputs!$B$3,12),Inputs!$B$4*Inputs!$B$16,0)),IF(Inputs!$B$3="",0,IF($A52=EOMONTH(Inputs!$B$3,24),Inputs!$B$4*Inputs!$B$16,0))))</f>
        <v>0</v>
      </c>
      <c r="Q52" s="4">
        <f>IF($A52="","",IF(AND(Inputs!$B$18&lt;&gt;"",$A52=EOMONTH(Inputs!$B$18,0),Inputs!$B$18&lt;=Inputs!$B$23),Inputs!$B$4*Inputs!$B$17,0))</f>
        <v>0</v>
      </c>
      <c r="R52" s="4">
        <f t="shared" si="20"/>
        <v>0</v>
      </c>
      <c r="S52" s="4"/>
      <c r="T52" s="4">
        <f>IF($A52="","",IF(OR(Inputs!$B$27="",Inputs!$B$28=""),0,IF($A52&lt;Inputs!$B$27,0,IF($A52&gt;Inputs!$B$29,0,$R52/MAX(1,Inputs!$B$28-DATEDIF(Inputs!$B$27,$A52,"m"))))))</f>
        <v>0</v>
      </c>
      <c r="U52" s="4"/>
      <c r="V52" s="4">
        <f t="shared" si="14"/>
        <v>0</v>
      </c>
      <c r="W52" s="5">
        <f>IF($A52="","",MAX(Inputs!$B$14,(IF($B52="",Inputs!$B$20,$B52)+Inputs!$B$13)))</f>
        <v>8.249999999999999E-2</v>
      </c>
      <c r="X52" s="4">
        <f t="shared" si="15"/>
        <v>0</v>
      </c>
      <c r="Y52" s="4">
        <f>IF($A52="","",IF(AND(IF($U52="",0,$U52)&gt;0,Inputs!$B$24&lt;&gt;"",$A52&lt;=EOMONTH(Inputs!$B$24,0)),IF($U52="",0,$U52)*Inputs!$B$19,0))</f>
        <v>0</v>
      </c>
      <c r="Z52" s="4">
        <f t="shared" si="16"/>
        <v>0</v>
      </c>
      <c r="AA52" s="4">
        <f t="shared" si="17"/>
        <v>2083.3333333333335</v>
      </c>
      <c r="AB52" s="4">
        <f t="shared" si="18"/>
        <v>-2083.3333333333335</v>
      </c>
      <c r="AC52" s="4">
        <f>IF($A52="","",SUM($AB$2:$AB52))</f>
        <v>5069375.000000014</v>
      </c>
    </row>
    <row r="53" spans="1:29" x14ac:dyDescent="0.45">
      <c r="A53" s="3">
        <f>IF(OR($A52="",AND(Inputs!$B$31&lt;&gt;"",EOMONTH($A52,1)&gt;Inputs!$B$31)),"",EOMONTH($A52,1))</f>
        <v>47118</v>
      </c>
      <c r="B53" s="5"/>
      <c r="C53" s="4"/>
      <c r="D53" s="5"/>
      <c r="E53" s="8">
        <f>IF($A53="","",MAX(0,(1-(IF($D53="",Inputs!$B$21,$D53)))*IF($A53&lt;=DATE(2026,7,31),9,IF($A53&lt;=DATE(2027,7,31),7.5,6))))</f>
        <v>5.6999999999999993</v>
      </c>
      <c r="F53" s="4">
        <f>IF($A53="","",(IF($C53="",Inputs!$B$22,$C53))*$E53)</f>
        <v>0</v>
      </c>
      <c r="G53" s="4">
        <f>IF($A53="","",Inputs!$B$4+IF(AND(Inputs!$B$6&lt;&gt;"",$A53&gt;=EOMONTH(Inputs!$B$6,0)),Inputs!$B$5,0))</f>
        <v>10000000</v>
      </c>
      <c r="H53" s="4">
        <f t="shared" si="19"/>
        <v>0</v>
      </c>
      <c r="I53" s="4"/>
      <c r="J53" s="4"/>
      <c r="K53" s="4">
        <f t="shared" si="11"/>
        <v>0</v>
      </c>
      <c r="L53" s="5">
        <f>IF($A53="","",MAX(Inputs!$B$14,(IF($B53="",Inputs!$B$20,$B53)+Inputs!$B$12)))</f>
        <v>0.08</v>
      </c>
      <c r="M53" s="4">
        <f t="shared" si="12"/>
        <v>0</v>
      </c>
      <c r="N53" s="4">
        <f t="shared" si="13"/>
        <v>10000000</v>
      </c>
      <c r="O53" s="4">
        <f>IF($A53="","",$N53*Inputs!$B$15/12)</f>
        <v>2083.3333333333335</v>
      </c>
      <c r="P53" s="4">
        <f>IF($A53="","",SUM(IF($A53=EOMONTH(Inputs!$B$3,0),Inputs!$B$4*Inputs!$B$16,0),IF(Inputs!$B$3="",0,IF($A53=EOMONTH(Inputs!$B$3,12),Inputs!$B$4*Inputs!$B$16,0)),IF(Inputs!$B$3="",0,IF($A53=EOMONTH(Inputs!$B$3,24),Inputs!$B$4*Inputs!$B$16,0))))</f>
        <v>0</v>
      </c>
      <c r="Q53" s="4">
        <f>IF($A53="","",IF(AND(Inputs!$B$18&lt;&gt;"",$A53=EOMONTH(Inputs!$B$18,0),Inputs!$B$18&lt;=Inputs!$B$23),Inputs!$B$4*Inputs!$B$17,0))</f>
        <v>0</v>
      </c>
      <c r="R53" s="4">
        <f t="shared" si="20"/>
        <v>0</v>
      </c>
      <c r="S53" s="4"/>
      <c r="T53" s="4">
        <f>IF($A53="","",IF(OR(Inputs!$B$27="",Inputs!$B$28=""),0,IF($A53&lt;Inputs!$B$27,0,IF($A53&gt;Inputs!$B$29,0,$R53/MAX(1,Inputs!$B$28-DATEDIF(Inputs!$B$27,$A53,"m"))))))</f>
        <v>0</v>
      </c>
      <c r="U53" s="4"/>
      <c r="V53" s="4">
        <f t="shared" si="14"/>
        <v>0</v>
      </c>
      <c r="W53" s="5">
        <f>IF($A53="","",MAX(Inputs!$B$14,(IF($B53="",Inputs!$B$20,$B53)+Inputs!$B$13)))</f>
        <v>8.249999999999999E-2</v>
      </c>
      <c r="X53" s="4">
        <f t="shared" si="15"/>
        <v>0</v>
      </c>
      <c r="Y53" s="4">
        <f>IF($A53="","",IF(AND(IF($U53="",0,$U53)&gt;0,Inputs!$B$24&lt;&gt;"",$A53&lt;=EOMONTH(Inputs!$B$24,0)),IF($U53="",0,$U53)*Inputs!$B$19,0))</f>
        <v>0</v>
      </c>
      <c r="Z53" s="4">
        <f t="shared" si="16"/>
        <v>0</v>
      </c>
      <c r="AA53" s="4">
        <f t="shared" si="17"/>
        <v>2083.3333333333335</v>
      </c>
      <c r="AB53" s="4">
        <f t="shared" si="18"/>
        <v>-2083.3333333333335</v>
      </c>
      <c r="AC53" s="4">
        <f>IF($A53="","",SUM($AB$2:$AB53))</f>
        <v>5067291.6666666809</v>
      </c>
    </row>
    <row r="54" spans="1:29" x14ac:dyDescent="0.45">
      <c r="A54" s="3">
        <f>IF(OR($A53="",AND(Inputs!$B$31&lt;&gt;"",EOMONTH($A53,1)&gt;Inputs!$B$31)),"",EOMONTH($A53,1))</f>
        <v>47149</v>
      </c>
      <c r="B54" s="5"/>
      <c r="C54" s="4"/>
      <c r="D54" s="5"/>
      <c r="E54" s="8">
        <f>IF($A54="","",MAX(0,(1-(IF($D54="",Inputs!$B$21,$D54)))*IF($A54&lt;=DATE(2026,7,31),9,IF($A54&lt;=DATE(2027,7,31),7.5,6))))</f>
        <v>5.6999999999999993</v>
      </c>
      <c r="F54" s="4">
        <f>IF($A54="","",(IF($C54="",Inputs!$B$22,$C54))*$E54)</f>
        <v>0</v>
      </c>
      <c r="G54" s="4">
        <f>IF($A54="","",Inputs!$B$4+IF(AND(Inputs!$B$6&lt;&gt;"",$A54&gt;=EOMONTH(Inputs!$B$6,0)),Inputs!$B$5,0))</f>
        <v>10000000</v>
      </c>
      <c r="H54" s="4">
        <f t="shared" si="19"/>
        <v>0</v>
      </c>
      <c r="I54" s="4"/>
      <c r="J54" s="4"/>
      <c r="K54" s="4">
        <f t="shared" si="11"/>
        <v>0</v>
      </c>
      <c r="L54" s="5">
        <f>IF($A54="","",MAX(Inputs!$B$14,(IF($B54="",Inputs!$B$20,$B54)+Inputs!$B$12)))</f>
        <v>0.08</v>
      </c>
      <c r="M54" s="4">
        <f t="shared" si="12"/>
        <v>0</v>
      </c>
      <c r="N54" s="4">
        <f t="shared" si="13"/>
        <v>10000000</v>
      </c>
      <c r="O54" s="4">
        <f>IF($A54="","",$N54*Inputs!$B$15/12)</f>
        <v>2083.3333333333335</v>
      </c>
      <c r="P54" s="4">
        <f>IF($A54="","",SUM(IF($A54=EOMONTH(Inputs!$B$3,0),Inputs!$B$4*Inputs!$B$16,0),IF(Inputs!$B$3="",0,IF($A54=EOMONTH(Inputs!$B$3,12),Inputs!$B$4*Inputs!$B$16,0)),IF(Inputs!$B$3="",0,IF($A54=EOMONTH(Inputs!$B$3,24),Inputs!$B$4*Inputs!$B$16,0))))</f>
        <v>0</v>
      </c>
      <c r="Q54" s="4">
        <f>IF($A54="","",IF(AND(Inputs!$B$18&lt;&gt;"",$A54=EOMONTH(Inputs!$B$18,0),Inputs!$B$18&lt;=Inputs!$B$23),Inputs!$B$4*Inputs!$B$17,0))</f>
        <v>0</v>
      </c>
      <c r="R54" s="4">
        <f t="shared" si="20"/>
        <v>0</v>
      </c>
      <c r="S54" s="4"/>
      <c r="T54" s="4">
        <f>IF($A54="","",IF(OR(Inputs!$B$27="",Inputs!$B$28=""),0,IF($A54&lt;Inputs!$B$27,0,IF($A54&gt;Inputs!$B$29,0,$R54/MAX(1,Inputs!$B$28-DATEDIF(Inputs!$B$27,$A54,"m"))))))</f>
        <v>0</v>
      </c>
      <c r="U54" s="4"/>
      <c r="V54" s="4">
        <f t="shared" si="14"/>
        <v>0</v>
      </c>
      <c r="W54" s="5">
        <f>IF($A54="","",MAX(Inputs!$B$14,(IF($B54="",Inputs!$B$20,$B54)+Inputs!$B$13)))</f>
        <v>8.249999999999999E-2</v>
      </c>
      <c r="X54" s="4">
        <f t="shared" si="15"/>
        <v>0</v>
      </c>
      <c r="Y54" s="4">
        <f>IF($A54="","",IF(AND(IF($U54="",0,$U54)&gt;0,Inputs!$B$24&lt;&gt;"",$A54&lt;=EOMONTH(Inputs!$B$24,0)),IF($U54="",0,$U54)*Inputs!$B$19,0))</f>
        <v>0</v>
      </c>
      <c r="Z54" s="4">
        <f t="shared" si="16"/>
        <v>0</v>
      </c>
      <c r="AA54" s="4">
        <f t="shared" si="17"/>
        <v>2083.3333333333335</v>
      </c>
      <c r="AB54" s="4">
        <f t="shared" si="18"/>
        <v>-2083.3333333333335</v>
      </c>
      <c r="AC54" s="4">
        <f>IF($A54="","",SUM($AB$2:$AB54))</f>
        <v>5065208.3333333479</v>
      </c>
    </row>
    <row r="55" spans="1:29" x14ac:dyDescent="0.45">
      <c r="A55" s="3">
        <f>IF(OR($A54="",AND(Inputs!$B$31&lt;&gt;"",EOMONTH($A54,1)&gt;Inputs!$B$31)),"",EOMONTH($A54,1))</f>
        <v>47177</v>
      </c>
      <c r="B55" s="5"/>
      <c r="C55" s="4"/>
      <c r="D55" s="5"/>
      <c r="E55" s="8">
        <f>IF($A55="","",MAX(0,(1-(IF($D55="",Inputs!$B$21,$D55)))*IF($A55&lt;=DATE(2026,7,31),9,IF($A55&lt;=DATE(2027,7,31),7.5,6))))</f>
        <v>5.6999999999999993</v>
      </c>
      <c r="F55" s="4">
        <f>IF($A55="","",(IF($C55="",Inputs!$B$22,$C55))*$E55)</f>
        <v>0</v>
      </c>
      <c r="G55" s="4">
        <f>IF($A55="","",Inputs!$B$4+IF(AND(Inputs!$B$6&lt;&gt;"",$A55&gt;=EOMONTH(Inputs!$B$6,0)),Inputs!$B$5,0))</f>
        <v>10000000</v>
      </c>
      <c r="H55" s="4">
        <f t="shared" si="19"/>
        <v>0</v>
      </c>
      <c r="I55" s="4"/>
      <c r="J55" s="4"/>
      <c r="K55" s="4">
        <f t="shared" si="11"/>
        <v>0</v>
      </c>
      <c r="L55" s="5">
        <f>IF($A55="","",MAX(Inputs!$B$14,(IF($B55="",Inputs!$B$20,$B55)+Inputs!$B$12)))</f>
        <v>0.08</v>
      </c>
      <c r="M55" s="4">
        <f t="shared" si="12"/>
        <v>0</v>
      </c>
      <c r="N55" s="4">
        <f t="shared" si="13"/>
        <v>10000000</v>
      </c>
      <c r="O55" s="4">
        <f>IF($A55="","",$N55*Inputs!$B$15/12)</f>
        <v>2083.3333333333335</v>
      </c>
      <c r="P55" s="4">
        <f>IF($A55="","",SUM(IF($A55=EOMONTH(Inputs!$B$3,0),Inputs!$B$4*Inputs!$B$16,0),IF(Inputs!$B$3="",0,IF($A55=EOMONTH(Inputs!$B$3,12),Inputs!$B$4*Inputs!$B$16,0)),IF(Inputs!$B$3="",0,IF($A55=EOMONTH(Inputs!$B$3,24),Inputs!$B$4*Inputs!$B$16,0))))</f>
        <v>0</v>
      </c>
      <c r="Q55" s="4">
        <f>IF($A55="","",IF(AND(Inputs!$B$18&lt;&gt;"",$A55=EOMONTH(Inputs!$B$18,0),Inputs!$B$18&lt;=Inputs!$B$23),Inputs!$B$4*Inputs!$B$17,0))</f>
        <v>0</v>
      </c>
      <c r="R55" s="4">
        <f t="shared" si="20"/>
        <v>0</v>
      </c>
      <c r="S55" s="4"/>
      <c r="T55" s="4">
        <f>IF($A55="","",IF(OR(Inputs!$B$27="",Inputs!$B$28=""),0,IF($A55&lt;Inputs!$B$27,0,IF($A55&gt;Inputs!$B$29,0,$R55/MAX(1,Inputs!$B$28-DATEDIF(Inputs!$B$27,$A55,"m"))))))</f>
        <v>0</v>
      </c>
      <c r="U55" s="4"/>
      <c r="V55" s="4">
        <f t="shared" si="14"/>
        <v>0</v>
      </c>
      <c r="W55" s="5">
        <f>IF($A55="","",MAX(Inputs!$B$14,(IF($B55="",Inputs!$B$20,$B55)+Inputs!$B$13)))</f>
        <v>8.249999999999999E-2</v>
      </c>
      <c r="X55" s="4">
        <f t="shared" si="15"/>
        <v>0</v>
      </c>
      <c r="Y55" s="4">
        <f>IF($A55="","",IF(AND(IF($U55="",0,$U55)&gt;0,Inputs!$B$24&lt;&gt;"",$A55&lt;=EOMONTH(Inputs!$B$24,0)),IF($U55="",0,$U55)*Inputs!$B$19,0))</f>
        <v>0</v>
      </c>
      <c r="Z55" s="4">
        <f t="shared" si="16"/>
        <v>0</v>
      </c>
      <c r="AA55" s="4">
        <f t="shared" si="17"/>
        <v>2083.3333333333335</v>
      </c>
      <c r="AB55" s="4">
        <f t="shared" si="18"/>
        <v>-2083.3333333333335</v>
      </c>
      <c r="AC55" s="4">
        <f>IF($A55="","",SUM($AB$2:$AB55))</f>
        <v>5063125.0000000149</v>
      </c>
    </row>
    <row r="56" spans="1:29" x14ac:dyDescent="0.45">
      <c r="A56" s="3">
        <f>IF(OR($A55="",AND(Inputs!$B$31&lt;&gt;"",EOMONTH($A55,1)&gt;Inputs!$B$31)),"",EOMONTH($A55,1))</f>
        <v>47208</v>
      </c>
      <c r="B56" s="5"/>
      <c r="C56" s="4"/>
      <c r="D56" s="5"/>
      <c r="E56" s="8">
        <f>IF($A56="","",MAX(0,(1-(IF($D56="",Inputs!$B$21,$D56)))*IF($A56&lt;=DATE(2026,7,31),9,IF($A56&lt;=DATE(2027,7,31),7.5,6))))</f>
        <v>5.6999999999999993</v>
      </c>
      <c r="F56" s="4">
        <f>IF($A56="","",(IF($C56="",Inputs!$B$22,$C56))*$E56)</f>
        <v>0</v>
      </c>
      <c r="G56" s="4">
        <f>IF($A56="","",Inputs!$B$4+IF(AND(Inputs!$B$6&lt;&gt;"",$A56&gt;=EOMONTH(Inputs!$B$6,0)),Inputs!$B$5,0))</f>
        <v>10000000</v>
      </c>
      <c r="H56" s="4">
        <f t="shared" si="19"/>
        <v>0</v>
      </c>
      <c r="I56" s="4"/>
      <c r="J56" s="4"/>
      <c r="K56" s="4">
        <f t="shared" si="11"/>
        <v>0</v>
      </c>
      <c r="L56" s="5">
        <f>IF($A56="","",MAX(Inputs!$B$14,(IF($B56="",Inputs!$B$20,$B56)+Inputs!$B$12)))</f>
        <v>0.08</v>
      </c>
      <c r="M56" s="4">
        <f t="shared" si="12"/>
        <v>0</v>
      </c>
      <c r="N56" s="4">
        <f t="shared" si="13"/>
        <v>10000000</v>
      </c>
      <c r="O56" s="4">
        <f>IF($A56="","",$N56*Inputs!$B$15/12)</f>
        <v>2083.3333333333335</v>
      </c>
      <c r="P56" s="4">
        <f>IF($A56="","",SUM(IF($A56=EOMONTH(Inputs!$B$3,0),Inputs!$B$4*Inputs!$B$16,0),IF(Inputs!$B$3="",0,IF($A56=EOMONTH(Inputs!$B$3,12),Inputs!$B$4*Inputs!$B$16,0)),IF(Inputs!$B$3="",0,IF($A56=EOMONTH(Inputs!$B$3,24),Inputs!$B$4*Inputs!$B$16,0))))</f>
        <v>0</v>
      </c>
      <c r="Q56" s="4">
        <f>IF($A56="","",IF(AND(Inputs!$B$18&lt;&gt;"",$A56=EOMONTH(Inputs!$B$18,0),Inputs!$B$18&lt;=Inputs!$B$23),Inputs!$B$4*Inputs!$B$17,0))</f>
        <v>0</v>
      </c>
      <c r="R56" s="4">
        <f t="shared" si="20"/>
        <v>0</v>
      </c>
      <c r="S56" s="4"/>
      <c r="T56" s="4">
        <f>IF($A56="","",IF(OR(Inputs!$B$27="",Inputs!$B$28=""),0,IF($A56&lt;Inputs!$B$27,0,IF($A56&gt;Inputs!$B$29,0,$R56/MAX(1,Inputs!$B$28-DATEDIF(Inputs!$B$27,$A56,"m"))))))</f>
        <v>0</v>
      </c>
      <c r="U56" s="4"/>
      <c r="V56" s="4">
        <f t="shared" si="14"/>
        <v>0</v>
      </c>
      <c r="W56" s="5">
        <f>IF($A56="","",MAX(Inputs!$B$14,(IF($B56="",Inputs!$B$20,$B56)+Inputs!$B$13)))</f>
        <v>8.249999999999999E-2</v>
      </c>
      <c r="X56" s="4">
        <f t="shared" si="15"/>
        <v>0</v>
      </c>
      <c r="Y56" s="4">
        <f>IF($A56="","",IF(AND(IF($U56="",0,$U56)&gt;0,Inputs!$B$24&lt;&gt;"",$A56&lt;=EOMONTH(Inputs!$B$24,0)),IF($U56="",0,$U56)*Inputs!$B$19,0))</f>
        <v>0</v>
      </c>
      <c r="Z56" s="4">
        <f t="shared" si="16"/>
        <v>0</v>
      </c>
      <c r="AA56" s="4">
        <f t="shared" si="17"/>
        <v>2083.3333333333335</v>
      </c>
      <c r="AB56" s="4">
        <f t="shared" si="18"/>
        <v>-2083.3333333333335</v>
      </c>
      <c r="AC56" s="4">
        <f>IF($A56="","",SUM($AB$2:$AB56))</f>
        <v>5061041.6666666819</v>
      </c>
    </row>
    <row r="57" spans="1:29" x14ac:dyDescent="0.45">
      <c r="A57" s="3">
        <f>IF(OR($A56="",AND(Inputs!$B$31&lt;&gt;"",EOMONTH($A56,1)&gt;Inputs!$B$31)),"",EOMONTH($A56,1))</f>
        <v>47238</v>
      </c>
      <c r="B57" s="5"/>
      <c r="C57" s="4"/>
      <c r="D57" s="5"/>
      <c r="E57" s="8">
        <f>IF($A57="","",MAX(0,(1-(IF($D57="",Inputs!$B$21,$D57)))*IF($A57&lt;=DATE(2026,7,31),9,IF($A57&lt;=DATE(2027,7,31),7.5,6))))</f>
        <v>5.6999999999999993</v>
      </c>
      <c r="F57" s="4">
        <f>IF($A57="","",(IF($C57="",Inputs!$B$22,$C57))*$E57)</f>
        <v>0</v>
      </c>
      <c r="G57" s="4">
        <f>IF($A57="","",Inputs!$B$4+IF(AND(Inputs!$B$6&lt;&gt;"",$A57&gt;=EOMONTH(Inputs!$B$6,0)),Inputs!$B$5,0))</f>
        <v>10000000</v>
      </c>
      <c r="H57" s="4">
        <f t="shared" si="19"/>
        <v>0</v>
      </c>
      <c r="I57" s="4"/>
      <c r="J57" s="4"/>
      <c r="K57" s="4">
        <f t="shared" si="11"/>
        <v>0</v>
      </c>
      <c r="L57" s="5">
        <f>IF($A57="","",MAX(Inputs!$B$14,(IF($B57="",Inputs!$B$20,$B57)+Inputs!$B$12)))</f>
        <v>0.08</v>
      </c>
      <c r="M57" s="4">
        <f t="shared" si="12"/>
        <v>0</v>
      </c>
      <c r="N57" s="4">
        <f t="shared" si="13"/>
        <v>10000000</v>
      </c>
      <c r="O57" s="4">
        <f>IF($A57="","",$N57*Inputs!$B$15/12)</f>
        <v>2083.3333333333335</v>
      </c>
      <c r="P57" s="4">
        <f>IF($A57="","",SUM(IF($A57=EOMONTH(Inputs!$B$3,0),Inputs!$B$4*Inputs!$B$16,0),IF(Inputs!$B$3="",0,IF($A57=EOMONTH(Inputs!$B$3,12),Inputs!$B$4*Inputs!$B$16,0)),IF(Inputs!$B$3="",0,IF($A57=EOMONTH(Inputs!$B$3,24),Inputs!$B$4*Inputs!$B$16,0))))</f>
        <v>0</v>
      </c>
      <c r="Q57" s="4">
        <f>IF($A57="","",IF(AND(Inputs!$B$18&lt;&gt;"",$A57=EOMONTH(Inputs!$B$18,0),Inputs!$B$18&lt;=Inputs!$B$23),Inputs!$B$4*Inputs!$B$17,0))</f>
        <v>0</v>
      </c>
      <c r="R57" s="4">
        <f t="shared" si="20"/>
        <v>0</v>
      </c>
      <c r="S57" s="4"/>
      <c r="T57" s="4">
        <f>IF($A57="","",IF(OR(Inputs!$B$27="",Inputs!$B$28=""),0,IF($A57&lt;Inputs!$B$27,0,IF($A57&gt;Inputs!$B$29,0,$R57/MAX(1,Inputs!$B$28-DATEDIF(Inputs!$B$27,$A57,"m"))))))</f>
        <v>0</v>
      </c>
      <c r="U57" s="4"/>
      <c r="V57" s="4">
        <f t="shared" si="14"/>
        <v>0</v>
      </c>
      <c r="W57" s="5">
        <f>IF($A57="","",MAX(Inputs!$B$14,(IF($B57="",Inputs!$B$20,$B57)+Inputs!$B$13)))</f>
        <v>8.249999999999999E-2</v>
      </c>
      <c r="X57" s="4">
        <f t="shared" si="15"/>
        <v>0</v>
      </c>
      <c r="Y57" s="4">
        <f>IF($A57="","",IF(AND(IF($U57="",0,$U57)&gt;0,Inputs!$B$24&lt;&gt;"",$A57&lt;=EOMONTH(Inputs!$B$24,0)),IF($U57="",0,$U57)*Inputs!$B$19,0))</f>
        <v>0</v>
      </c>
      <c r="Z57" s="4">
        <f t="shared" si="16"/>
        <v>0</v>
      </c>
      <c r="AA57" s="4">
        <f t="shared" si="17"/>
        <v>2083.3333333333335</v>
      </c>
      <c r="AB57" s="4">
        <f t="shared" si="18"/>
        <v>-2083.3333333333335</v>
      </c>
      <c r="AC57" s="4">
        <f>IF($A57="","",SUM($AB$2:$AB57))</f>
        <v>5058958.3333333489</v>
      </c>
    </row>
    <row r="58" spans="1:29" x14ac:dyDescent="0.45">
      <c r="A58" s="3">
        <f>IF(OR($A57="",AND(Inputs!$B$31&lt;&gt;"",EOMONTH($A57,1)&gt;Inputs!$B$31)),"",EOMONTH($A57,1))</f>
        <v>47269</v>
      </c>
      <c r="B58" s="5"/>
      <c r="C58" s="4"/>
      <c r="D58" s="5"/>
      <c r="E58" s="8">
        <f>IF($A58="","",MAX(0,(1-(IF($D58="",Inputs!$B$21,$D58)))*IF($A58&lt;=DATE(2026,7,31),9,IF($A58&lt;=DATE(2027,7,31),7.5,6))))</f>
        <v>5.6999999999999993</v>
      </c>
      <c r="F58" s="4">
        <f>IF($A58="","",(IF($C58="",Inputs!$B$22,$C58))*$E58)</f>
        <v>0</v>
      </c>
      <c r="G58" s="4">
        <f>IF($A58="","",Inputs!$B$4+IF(AND(Inputs!$B$6&lt;&gt;"",$A58&gt;=EOMONTH(Inputs!$B$6,0)),Inputs!$B$5,0))</f>
        <v>10000000</v>
      </c>
      <c r="H58" s="4">
        <f t="shared" si="19"/>
        <v>0</v>
      </c>
      <c r="I58" s="4"/>
      <c r="J58" s="4"/>
      <c r="K58" s="4">
        <f t="shared" si="11"/>
        <v>0</v>
      </c>
      <c r="L58" s="5">
        <f>IF($A58="","",MAX(Inputs!$B$14,(IF($B58="",Inputs!$B$20,$B58)+Inputs!$B$12)))</f>
        <v>0.08</v>
      </c>
      <c r="M58" s="4">
        <f t="shared" si="12"/>
        <v>0</v>
      </c>
      <c r="N58" s="4">
        <f t="shared" si="13"/>
        <v>10000000</v>
      </c>
      <c r="O58" s="4">
        <f>IF($A58="","",$N58*Inputs!$B$15/12)</f>
        <v>2083.3333333333335</v>
      </c>
      <c r="P58" s="4">
        <f>IF($A58="","",SUM(IF($A58=EOMONTH(Inputs!$B$3,0),Inputs!$B$4*Inputs!$B$16,0),IF(Inputs!$B$3="",0,IF($A58=EOMONTH(Inputs!$B$3,12),Inputs!$B$4*Inputs!$B$16,0)),IF(Inputs!$B$3="",0,IF($A58=EOMONTH(Inputs!$B$3,24),Inputs!$B$4*Inputs!$B$16,0))))</f>
        <v>0</v>
      </c>
      <c r="Q58" s="4">
        <f>IF($A58="","",IF(AND(Inputs!$B$18&lt;&gt;"",$A58=EOMONTH(Inputs!$B$18,0),Inputs!$B$18&lt;=Inputs!$B$23),Inputs!$B$4*Inputs!$B$17,0))</f>
        <v>0</v>
      </c>
      <c r="R58" s="4">
        <f t="shared" si="20"/>
        <v>0</v>
      </c>
      <c r="S58" s="4"/>
      <c r="T58" s="4">
        <f>IF($A58="","",IF(OR(Inputs!$B$27="",Inputs!$B$28=""),0,IF($A58&lt;Inputs!$B$27,0,IF($A58&gt;Inputs!$B$29,0,$R58/MAX(1,Inputs!$B$28-DATEDIF(Inputs!$B$27,$A58,"m"))))))</f>
        <v>0</v>
      </c>
      <c r="U58" s="4"/>
      <c r="V58" s="4">
        <f t="shared" si="14"/>
        <v>0</v>
      </c>
      <c r="W58" s="5">
        <f>IF($A58="","",MAX(Inputs!$B$14,(IF($B58="",Inputs!$B$20,$B58)+Inputs!$B$13)))</f>
        <v>8.249999999999999E-2</v>
      </c>
      <c r="X58" s="4">
        <f t="shared" si="15"/>
        <v>0</v>
      </c>
      <c r="Y58" s="4">
        <f>IF($A58="","",IF(AND(IF($U58="",0,$U58)&gt;0,Inputs!$B$24&lt;&gt;"",$A58&lt;=EOMONTH(Inputs!$B$24,0)),IF($U58="",0,$U58)*Inputs!$B$19,0))</f>
        <v>0</v>
      </c>
      <c r="Z58" s="4">
        <f t="shared" si="16"/>
        <v>0</v>
      </c>
      <c r="AA58" s="4">
        <f t="shared" si="17"/>
        <v>2083.3333333333335</v>
      </c>
      <c r="AB58" s="4">
        <f t="shared" si="18"/>
        <v>-2083.3333333333335</v>
      </c>
      <c r="AC58" s="4">
        <f>IF($A58="","",SUM($AB$2:$AB58))</f>
        <v>5056875.0000000158</v>
      </c>
    </row>
    <row r="59" spans="1:29" x14ac:dyDescent="0.45">
      <c r="A59" s="3">
        <f>IF(OR($A58="",AND(Inputs!$B$31&lt;&gt;"",EOMONTH($A58,1)&gt;Inputs!$B$31)),"",EOMONTH($A58,1))</f>
        <v>47299</v>
      </c>
      <c r="B59" s="5"/>
      <c r="C59" s="4"/>
      <c r="D59" s="5"/>
      <c r="E59" s="8">
        <f>IF($A59="","",MAX(0,(1-(IF($D59="",Inputs!$B$21,$D59)))*IF($A59&lt;=DATE(2026,7,31),9,IF($A59&lt;=DATE(2027,7,31),7.5,6))))</f>
        <v>5.6999999999999993</v>
      </c>
      <c r="F59" s="4">
        <f>IF($A59="","",(IF($C59="",Inputs!$B$22,$C59))*$E59)</f>
        <v>0</v>
      </c>
      <c r="G59" s="4">
        <f>IF($A59="","",Inputs!$B$4+IF(AND(Inputs!$B$6&lt;&gt;"",$A59&gt;=EOMONTH(Inputs!$B$6,0)),Inputs!$B$5,0))</f>
        <v>10000000</v>
      </c>
      <c r="H59" s="4">
        <f t="shared" si="19"/>
        <v>0</v>
      </c>
      <c r="I59" s="4"/>
      <c r="J59" s="4"/>
      <c r="K59" s="4">
        <f t="shared" si="11"/>
        <v>0</v>
      </c>
      <c r="L59" s="5">
        <f>IF($A59="","",MAX(Inputs!$B$14,(IF($B59="",Inputs!$B$20,$B59)+Inputs!$B$12)))</f>
        <v>0.08</v>
      </c>
      <c r="M59" s="4">
        <f t="shared" si="12"/>
        <v>0</v>
      </c>
      <c r="N59" s="4">
        <f t="shared" si="13"/>
        <v>10000000</v>
      </c>
      <c r="O59" s="4">
        <f>IF($A59="","",$N59*Inputs!$B$15/12)</f>
        <v>2083.3333333333335</v>
      </c>
      <c r="P59" s="4">
        <f>IF($A59="","",SUM(IF($A59=EOMONTH(Inputs!$B$3,0),Inputs!$B$4*Inputs!$B$16,0),IF(Inputs!$B$3="",0,IF($A59=EOMONTH(Inputs!$B$3,12),Inputs!$B$4*Inputs!$B$16,0)),IF(Inputs!$B$3="",0,IF($A59=EOMONTH(Inputs!$B$3,24),Inputs!$B$4*Inputs!$B$16,0))))</f>
        <v>0</v>
      </c>
      <c r="Q59" s="4">
        <f>IF($A59="","",IF(AND(Inputs!$B$18&lt;&gt;"",$A59=EOMONTH(Inputs!$B$18,0),Inputs!$B$18&lt;=Inputs!$B$23),Inputs!$B$4*Inputs!$B$17,0))</f>
        <v>0</v>
      </c>
      <c r="R59" s="4">
        <f t="shared" si="20"/>
        <v>0</v>
      </c>
      <c r="S59" s="4"/>
      <c r="T59" s="4">
        <f>IF($A59="","",IF(OR(Inputs!$B$27="",Inputs!$B$28=""),0,IF($A59&lt;Inputs!$B$27,0,IF($A59&gt;Inputs!$B$29,0,$R59/MAX(1,Inputs!$B$28-DATEDIF(Inputs!$B$27,$A59,"m"))))))</f>
        <v>0</v>
      </c>
      <c r="U59" s="4"/>
      <c r="V59" s="4">
        <f t="shared" si="14"/>
        <v>0</v>
      </c>
      <c r="W59" s="5">
        <f>IF($A59="","",MAX(Inputs!$B$14,(IF($B59="",Inputs!$B$20,$B59)+Inputs!$B$13)))</f>
        <v>8.249999999999999E-2</v>
      </c>
      <c r="X59" s="4">
        <f t="shared" si="15"/>
        <v>0</v>
      </c>
      <c r="Y59" s="4">
        <f>IF($A59="","",IF(AND(IF($U59="",0,$U59)&gt;0,Inputs!$B$24&lt;&gt;"",$A59&lt;=EOMONTH(Inputs!$B$24,0)),IF($U59="",0,$U59)*Inputs!$B$19,0))</f>
        <v>0</v>
      </c>
      <c r="Z59" s="4">
        <f t="shared" si="16"/>
        <v>0</v>
      </c>
      <c r="AA59" s="4">
        <f t="shared" si="17"/>
        <v>2083.3333333333335</v>
      </c>
      <c r="AB59" s="4">
        <f t="shared" si="18"/>
        <v>-2083.3333333333335</v>
      </c>
      <c r="AC59" s="4">
        <f>IF($A59="","",SUM($AB$2:$AB59))</f>
        <v>5054791.6666666828</v>
      </c>
    </row>
    <row r="60" spans="1:29" x14ac:dyDescent="0.45">
      <c r="A60" s="3">
        <f>IF(OR($A59="",AND(Inputs!$B$31&lt;&gt;"",EOMONTH($A59,1)&gt;Inputs!$B$31)),"",EOMONTH($A59,1))</f>
        <v>47330</v>
      </c>
      <c r="B60" s="5"/>
      <c r="C60" s="4"/>
      <c r="D60" s="5"/>
      <c r="E60" s="8">
        <f>IF($A60="","",MAX(0,(1-(IF($D60="",Inputs!$B$21,$D60)))*IF($A60&lt;=DATE(2026,7,31),9,IF($A60&lt;=DATE(2027,7,31),7.5,6))))</f>
        <v>5.6999999999999993</v>
      </c>
      <c r="F60" s="4">
        <f>IF($A60="","",(IF($C60="",Inputs!$B$22,$C60))*$E60)</f>
        <v>0</v>
      </c>
      <c r="G60" s="4">
        <f>IF($A60="","",Inputs!$B$4+IF(AND(Inputs!$B$6&lt;&gt;"",$A60&gt;=EOMONTH(Inputs!$B$6,0)),Inputs!$B$5,0))</f>
        <v>10000000</v>
      </c>
      <c r="H60" s="4">
        <f t="shared" si="19"/>
        <v>0</v>
      </c>
      <c r="I60" s="4"/>
      <c r="J60" s="4"/>
      <c r="K60" s="4">
        <f t="shared" si="11"/>
        <v>0</v>
      </c>
      <c r="L60" s="5">
        <f>IF($A60="","",MAX(Inputs!$B$14,(IF($B60="",Inputs!$B$20,$B60)+Inputs!$B$12)))</f>
        <v>0.08</v>
      </c>
      <c r="M60" s="4">
        <f t="shared" si="12"/>
        <v>0</v>
      </c>
      <c r="N60" s="4">
        <f t="shared" si="13"/>
        <v>10000000</v>
      </c>
      <c r="O60" s="4">
        <f>IF($A60="","",$N60*Inputs!$B$15/12)</f>
        <v>2083.3333333333335</v>
      </c>
      <c r="P60" s="4">
        <f>IF($A60="","",SUM(IF($A60=EOMONTH(Inputs!$B$3,0),Inputs!$B$4*Inputs!$B$16,0),IF(Inputs!$B$3="",0,IF($A60=EOMONTH(Inputs!$B$3,12),Inputs!$B$4*Inputs!$B$16,0)),IF(Inputs!$B$3="",0,IF($A60=EOMONTH(Inputs!$B$3,24),Inputs!$B$4*Inputs!$B$16,0))))</f>
        <v>0</v>
      </c>
      <c r="Q60" s="4">
        <f>IF($A60="","",IF(AND(Inputs!$B$18&lt;&gt;"",$A60=EOMONTH(Inputs!$B$18,0),Inputs!$B$18&lt;=Inputs!$B$23),Inputs!$B$4*Inputs!$B$17,0))</f>
        <v>0</v>
      </c>
      <c r="R60" s="4">
        <f t="shared" si="20"/>
        <v>0</v>
      </c>
      <c r="S60" s="4"/>
      <c r="T60" s="4">
        <f>IF($A60="","",IF(OR(Inputs!$B$27="",Inputs!$B$28=""),0,IF($A60&lt;Inputs!$B$27,0,IF($A60&gt;Inputs!$B$29,0,$R60/MAX(1,Inputs!$B$28-DATEDIF(Inputs!$B$27,$A60,"m"))))))</f>
        <v>0</v>
      </c>
      <c r="U60" s="4"/>
      <c r="V60" s="4">
        <f t="shared" si="14"/>
        <v>0</v>
      </c>
      <c r="W60" s="5">
        <f>IF($A60="","",MAX(Inputs!$B$14,(IF($B60="",Inputs!$B$20,$B60)+Inputs!$B$13)))</f>
        <v>8.249999999999999E-2</v>
      </c>
      <c r="X60" s="4">
        <f t="shared" si="15"/>
        <v>0</v>
      </c>
      <c r="Y60" s="4">
        <f>IF($A60="","",IF(AND(IF($U60="",0,$U60)&gt;0,Inputs!$B$24&lt;&gt;"",$A60&lt;=EOMONTH(Inputs!$B$24,0)),IF($U60="",0,$U60)*Inputs!$B$19,0))</f>
        <v>0</v>
      </c>
      <c r="Z60" s="4">
        <f t="shared" si="16"/>
        <v>0</v>
      </c>
      <c r="AA60" s="4">
        <f t="shared" si="17"/>
        <v>2083.3333333333335</v>
      </c>
      <c r="AB60" s="4">
        <f t="shared" si="18"/>
        <v>-2083.3333333333335</v>
      </c>
      <c r="AC60" s="4">
        <f>IF($A60="","",SUM($AB$2:$AB60))</f>
        <v>5052708.3333333498</v>
      </c>
    </row>
    <row r="61" spans="1:29" x14ac:dyDescent="0.45">
      <c r="A61" s="3">
        <f>IF(OR($A60="",AND(Inputs!$B$31&lt;&gt;"",EOMONTH($A60,1)&gt;Inputs!$B$31)),"",EOMONTH($A60,1))</f>
        <v>47361</v>
      </c>
      <c r="B61" s="5"/>
      <c r="C61" s="4"/>
      <c r="D61" s="5"/>
      <c r="E61" s="8">
        <f>IF($A61="","",MAX(0,(1-(IF($D61="",Inputs!$B$21,$D61)))*IF($A61&lt;=DATE(2026,7,31),9,IF($A61&lt;=DATE(2027,7,31),7.5,6))))</f>
        <v>5.6999999999999993</v>
      </c>
      <c r="F61" s="4">
        <f>IF($A61="","",(IF($C61="",Inputs!$B$22,$C61))*$E61)</f>
        <v>0</v>
      </c>
      <c r="G61" s="4">
        <f>IF($A61="","",Inputs!$B$4+IF(AND(Inputs!$B$6&lt;&gt;"",$A61&gt;=EOMONTH(Inputs!$B$6,0)),Inputs!$B$5,0))</f>
        <v>10000000</v>
      </c>
      <c r="H61" s="4">
        <f t="shared" si="19"/>
        <v>0</v>
      </c>
      <c r="I61" s="4"/>
      <c r="J61" s="4"/>
      <c r="K61" s="4">
        <f t="shared" si="11"/>
        <v>0</v>
      </c>
      <c r="L61" s="5">
        <f>IF($A61="","",MAX(Inputs!$B$14,(IF($B61="",Inputs!$B$20,$B61)+Inputs!$B$12)))</f>
        <v>0.08</v>
      </c>
      <c r="M61" s="4">
        <f t="shared" si="12"/>
        <v>0</v>
      </c>
      <c r="N61" s="4">
        <f t="shared" si="13"/>
        <v>10000000</v>
      </c>
      <c r="O61" s="4">
        <f>IF($A61="","",$N61*Inputs!$B$15/12)</f>
        <v>2083.3333333333335</v>
      </c>
      <c r="P61" s="4">
        <f>IF($A61="","",SUM(IF($A61=EOMONTH(Inputs!$B$3,0),Inputs!$B$4*Inputs!$B$16,0),IF(Inputs!$B$3="",0,IF($A61=EOMONTH(Inputs!$B$3,12),Inputs!$B$4*Inputs!$B$16,0)),IF(Inputs!$B$3="",0,IF($A61=EOMONTH(Inputs!$B$3,24),Inputs!$B$4*Inputs!$B$16,0))))</f>
        <v>0</v>
      </c>
      <c r="Q61" s="4">
        <f>IF($A61="","",IF(AND(Inputs!$B$18&lt;&gt;"",$A61=EOMONTH(Inputs!$B$18,0),Inputs!$B$18&lt;=Inputs!$B$23),Inputs!$B$4*Inputs!$B$17,0))</f>
        <v>0</v>
      </c>
      <c r="R61" s="4">
        <f t="shared" si="20"/>
        <v>0</v>
      </c>
      <c r="S61" s="4"/>
      <c r="T61" s="4">
        <f>IF($A61="","",IF(OR(Inputs!$B$27="",Inputs!$B$28=""),0,IF($A61&lt;Inputs!$B$27,0,IF($A61&gt;Inputs!$B$29,0,$R61/MAX(1,Inputs!$B$28-DATEDIF(Inputs!$B$27,$A61,"m"))))))</f>
        <v>0</v>
      </c>
      <c r="U61" s="4"/>
      <c r="V61" s="4">
        <f t="shared" si="14"/>
        <v>0</v>
      </c>
      <c r="W61" s="5">
        <f>IF($A61="","",MAX(Inputs!$B$14,(IF($B61="",Inputs!$B$20,$B61)+Inputs!$B$13)))</f>
        <v>8.249999999999999E-2</v>
      </c>
      <c r="X61" s="4">
        <f t="shared" si="15"/>
        <v>0</v>
      </c>
      <c r="Y61" s="4">
        <f>IF($A61="","",IF(AND(IF($U61="",0,$U61)&gt;0,Inputs!$B$24&lt;&gt;"",$A61&lt;=EOMONTH(Inputs!$B$24,0)),IF($U61="",0,$U61)*Inputs!$B$19,0))</f>
        <v>0</v>
      </c>
      <c r="Z61" s="4">
        <f t="shared" si="16"/>
        <v>0</v>
      </c>
      <c r="AA61" s="4">
        <f t="shared" si="17"/>
        <v>2083.3333333333335</v>
      </c>
      <c r="AB61" s="4">
        <f t="shared" si="18"/>
        <v>-2083.3333333333335</v>
      </c>
      <c r="AC61" s="4">
        <f>IF($A61="","",SUM($AB$2:$AB61))</f>
        <v>5050625.0000000168</v>
      </c>
    </row>
    <row r="62" spans="1:29" x14ac:dyDescent="0.45">
      <c r="A62" s="3" t="str">
        <f>IF(OR($A61="",AND(Inputs!$B$31&lt;&gt;"",EOMONTH($A61,1)&gt;Inputs!$B$31)),"",EOMONTH($A61,1))</f>
        <v/>
      </c>
      <c r="B62" s="5"/>
      <c r="C62" s="4"/>
      <c r="D62" s="5"/>
      <c r="E62" s="8" t="str">
        <f>IF($A62="","",MAX(0,(1-(IF($D62="",Inputs!$B$21,$D62)))*IF($A62&lt;=DATE(2026,7,31),9,IF($A62&lt;=DATE(2027,7,31),7.5,6))))</f>
        <v/>
      </c>
      <c r="F62" s="4" t="str">
        <f>IF($A62="","",(IF($C62="",Inputs!$B$22,$C62))*$E62)</f>
        <v/>
      </c>
      <c r="G62" s="4" t="str">
        <f>IF($A62="","",Inputs!$B$4+IF(AND(Inputs!$B$6&lt;&gt;"",$A62&gt;=EOMONTH(Inputs!$B$6,0)),Inputs!$B$5,0))</f>
        <v/>
      </c>
      <c r="H62" s="4" t="str">
        <f t="shared" si="19"/>
        <v/>
      </c>
      <c r="I62" s="4"/>
      <c r="J62" s="4"/>
      <c r="K62" s="4" t="str">
        <f t="shared" si="11"/>
        <v/>
      </c>
      <c r="L62" s="5" t="str">
        <f>IF($A62="","",MAX(Inputs!$B$14,(IF($B62="",Inputs!$B$20,$B62)+Inputs!$B$12)))</f>
        <v/>
      </c>
      <c r="M62" s="4" t="str">
        <f t="shared" si="12"/>
        <v/>
      </c>
      <c r="N62" s="4" t="str">
        <f t="shared" si="13"/>
        <v/>
      </c>
      <c r="O62" s="4" t="str">
        <f>IF($A62="","",$N62*Inputs!$B$15/12)</f>
        <v/>
      </c>
      <c r="P62" s="4" t="str">
        <f>IF($A62="","",SUM(IF($A62=EOMONTH(Inputs!$B$3,0),Inputs!$B$4*Inputs!$B$16,0),IF(Inputs!$B$3="",0,IF($A62=EOMONTH(Inputs!$B$3,12),Inputs!$B$4*Inputs!$B$16,0)),IF(Inputs!$B$3="",0,IF($A62=EOMONTH(Inputs!$B$3,24),Inputs!$B$4*Inputs!$B$16,0))))</f>
        <v/>
      </c>
      <c r="Q62" s="4" t="str">
        <f>IF($A62="","",IF(AND(Inputs!$B$18&lt;&gt;"",$A62=EOMONTH(Inputs!$B$18,0),Inputs!$B$18&lt;=Inputs!$B$23),Inputs!$B$4*Inputs!$B$17,0))</f>
        <v/>
      </c>
      <c r="R62" s="4" t="str">
        <f t="shared" si="20"/>
        <v/>
      </c>
      <c r="S62" s="4"/>
      <c r="T62" s="4" t="str">
        <f>IF($A62="","",IF(OR(Inputs!$B$27="",Inputs!$B$28=""),0,IF($A62&lt;Inputs!$B$27,0,IF($A62&gt;Inputs!$B$29,0,$R62/MAX(1,Inputs!$B$28-DATEDIF(Inputs!$B$27,$A62,"m"))))))</f>
        <v/>
      </c>
      <c r="U62" s="4"/>
      <c r="V62" s="4" t="str">
        <f t="shared" si="14"/>
        <v/>
      </c>
      <c r="W62" s="5" t="str">
        <f>IF($A62="","",MAX(Inputs!$B$14,(IF($B62="",Inputs!$B$20,$B62)+Inputs!$B$13)))</f>
        <v/>
      </c>
      <c r="X62" s="4" t="str">
        <f t="shared" si="15"/>
        <v/>
      </c>
      <c r="Y62" s="4" t="str">
        <f>IF($A62="","",IF(AND(IF($U62="",0,$U62)&gt;0,Inputs!$B$24&lt;&gt;"",$A62&lt;=EOMONTH(Inputs!$B$24,0)),IF($U62="",0,$U62)*Inputs!$B$19,0))</f>
        <v/>
      </c>
      <c r="Z62" s="4" t="str">
        <f t="shared" si="16"/>
        <v/>
      </c>
      <c r="AA62" s="4" t="str">
        <f t="shared" si="17"/>
        <v/>
      </c>
      <c r="AB62" s="4" t="str">
        <f t="shared" si="18"/>
        <v/>
      </c>
      <c r="AC62" s="4" t="str">
        <f>IF($A62="","",SUM($AB$2:$AB62))</f>
        <v/>
      </c>
    </row>
    <row r="63" spans="1:29" x14ac:dyDescent="0.45">
      <c r="A63" s="3" t="e">
        <f>IF(OR($A62="",AND(Inputs!$B$31&lt;&gt;"",EOMONTH($A62,1)&gt;Inputs!$B$31)),"",EOMONTH($A62,1))</f>
        <v>#VALUE!</v>
      </c>
      <c r="B63" s="5"/>
      <c r="C63" s="4"/>
      <c r="D63" s="5"/>
      <c r="E63" s="8" t="e">
        <f>IF($A63="","",MAX(0,(1-(IF($D63="",Inputs!$B$21,$D63)))*IF($A63&lt;=DATE(2026,7,31),9,IF($A63&lt;=DATE(2027,7,31),7.5,6))))</f>
        <v>#VALUE!</v>
      </c>
      <c r="F63" s="4" t="e">
        <f>IF($A63="","",(IF($C63="",Inputs!$B$22,$C63))*$E63)</f>
        <v>#VALUE!</v>
      </c>
      <c r="G63" s="4" t="e">
        <f>IF($A63="","",Inputs!$B$4+IF(AND(Inputs!$B$6&lt;&gt;"",$A63&gt;=EOMONTH(Inputs!$B$6,0)),Inputs!$B$5,0))</f>
        <v>#VALUE!</v>
      </c>
      <c r="H63" s="4" t="e">
        <f t="shared" si="19"/>
        <v>#VALUE!</v>
      </c>
      <c r="I63" s="4"/>
      <c r="J63" s="4"/>
      <c r="K63" s="4" t="e">
        <f t="shared" si="11"/>
        <v>#VALUE!</v>
      </c>
      <c r="L63" s="5" t="e">
        <f>IF($A63="","",MAX(Inputs!$B$14,(IF($B63="",Inputs!$B$20,$B63)+Inputs!$B$12)))</f>
        <v>#VALUE!</v>
      </c>
      <c r="M63" s="4" t="e">
        <f t="shared" si="12"/>
        <v>#VALUE!</v>
      </c>
      <c r="N63" s="4" t="e">
        <f t="shared" si="13"/>
        <v>#VALUE!</v>
      </c>
      <c r="O63" s="4" t="e">
        <f>IF($A63="","",$N63*Inputs!$B$15/12)</f>
        <v>#VALUE!</v>
      </c>
      <c r="P63" s="4" t="e">
        <f>IF($A63="","",SUM(IF($A63=EOMONTH(Inputs!$B$3,0),Inputs!$B$4*Inputs!$B$16,0),IF(Inputs!$B$3="",0,IF($A63=EOMONTH(Inputs!$B$3,12),Inputs!$B$4*Inputs!$B$16,0)),IF(Inputs!$B$3="",0,IF($A63=EOMONTH(Inputs!$B$3,24),Inputs!$B$4*Inputs!$B$16,0))))</f>
        <v>#VALUE!</v>
      </c>
      <c r="Q63" s="4" t="e">
        <f>IF($A63="","",IF(AND(Inputs!$B$18&lt;&gt;"",$A63=EOMONTH(Inputs!$B$18,0),Inputs!$B$18&lt;=Inputs!$B$23),Inputs!$B$4*Inputs!$B$17,0))</f>
        <v>#VALUE!</v>
      </c>
      <c r="R63" s="4" t="e">
        <f t="shared" si="20"/>
        <v>#VALUE!</v>
      </c>
      <c r="S63" s="4"/>
      <c r="T63" s="4" t="e">
        <f>IF($A63="","",IF(OR(Inputs!$B$27="",Inputs!$B$28=""),0,IF($A63&lt;Inputs!$B$27,0,IF($A63&gt;Inputs!$B$29,0,$R63/MAX(1,Inputs!$B$28-DATEDIF(Inputs!$B$27,$A63,"m"))))))</f>
        <v>#VALUE!</v>
      </c>
      <c r="U63" s="4"/>
      <c r="V63" s="4" t="e">
        <f t="shared" si="14"/>
        <v>#VALUE!</v>
      </c>
      <c r="W63" s="5" t="e">
        <f>IF($A63="","",MAX(Inputs!$B$14,(IF($B63="",Inputs!$B$20,$B63)+Inputs!$B$13)))</f>
        <v>#VALUE!</v>
      </c>
      <c r="X63" s="4" t="e">
        <f t="shared" si="15"/>
        <v>#VALUE!</v>
      </c>
      <c r="Y63" s="4" t="e">
        <f>IF($A63="","",IF(AND(IF($U63="",0,$U63)&gt;0,Inputs!$B$24&lt;&gt;"",$A63&lt;=EOMONTH(Inputs!$B$24,0)),IF($U63="",0,$U63)*Inputs!$B$19,0))</f>
        <v>#VALUE!</v>
      </c>
      <c r="Z63" s="4" t="e">
        <f t="shared" si="16"/>
        <v>#VALUE!</v>
      </c>
      <c r="AA63" s="4" t="e">
        <f t="shared" si="17"/>
        <v>#VALUE!</v>
      </c>
      <c r="AB63" s="4" t="e">
        <f t="shared" si="18"/>
        <v>#VALUE!</v>
      </c>
      <c r="AC63" s="4" t="e">
        <f>IF($A63="","",SUM($AB$2:$AB63))</f>
        <v>#VALUE!</v>
      </c>
    </row>
    <row r="64" spans="1:29" x14ac:dyDescent="0.45">
      <c r="A64" s="3" t="e">
        <f>IF(OR($A63="",AND(Inputs!$B$31&lt;&gt;"",EOMONTH($A63,1)&gt;Inputs!$B$31)),"",EOMONTH($A63,1))</f>
        <v>#VALUE!</v>
      </c>
      <c r="B64" s="5"/>
      <c r="C64" s="4"/>
      <c r="D64" s="5"/>
      <c r="E64" s="8" t="e">
        <f>IF($A64="","",MAX(0,(1-(IF($D64="",Inputs!$B$21,$D64)))*IF($A64&lt;=DATE(2026,7,31),9,IF($A64&lt;=DATE(2027,7,31),7.5,6))))</f>
        <v>#VALUE!</v>
      </c>
      <c r="F64" s="4" t="e">
        <f>IF($A64="","",(IF($C64="",Inputs!$B$22,$C64))*$E64)</f>
        <v>#VALUE!</v>
      </c>
      <c r="G64" s="4" t="e">
        <f>IF($A64="","",Inputs!$B$4+IF(AND(Inputs!$B$6&lt;&gt;"",$A64&gt;=EOMONTH(Inputs!$B$6,0)),Inputs!$B$5,0))</f>
        <v>#VALUE!</v>
      </c>
      <c r="H64" s="4" t="e">
        <f t="shared" si="19"/>
        <v>#VALUE!</v>
      </c>
      <c r="I64" s="4"/>
      <c r="J64" s="4"/>
      <c r="K64" s="4" t="e">
        <f t="shared" si="11"/>
        <v>#VALUE!</v>
      </c>
      <c r="L64" s="5" t="e">
        <f>IF($A64="","",MAX(Inputs!$B$14,(IF($B64="",Inputs!$B$20,$B64)+Inputs!$B$12)))</f>
        <v>#VALUE!</v>
      </c>
      <c r="M64" s="4" t="e">
        <f t="shared" si="12"/>
        <v>#VALUE!</v>
      </c>
      <c r="N64" s="4" t="e">
        <f t="shared" si="13"/>
        <v>#VALUE!</v>
      </c>
      <c r="O64" s="4" t="e">
        <f>IF($A64="","",$N64*Inputs!$B$15/12)</f>
        <v>#VALUE!</v>
      </c>
      <c r="P64" s="4" t="e">
        <f>IF($A64="","",SUM(IF($A64=EOMONTH(Inputs!$B$3,0),Inputs!$B$4*Inputs!$B$16,0),IF(Inputs!$B$3="",0,IF($A64=EOMONTH(Inputs!$B$3,12),Inputs!$B$4*Inputs!$B$16,0)),IF(Inputs!$B$3="",0,IF($A64=EOMONTH(Inputs!$B$3,24),Inputs!$B$4*Inputs!$B$16,0))))</f>
        <v>#VALUE!</v>
      </c>
      <c r="Q64" s="4" t="e">
        <f>IF($A64="","",IF(AND(Inputs!$B$18&lt;&gt;"",$A64=EOMONTH(Inputs!$B$18,0),Inputs!$B$18&lt;=Inputs!$B$23),Inputs!$B$4*Inputs!$B$17,0))</f>
        <v>#VALUE!</v>
      </c>
      <c r="R64" s="4" t="e">
        <f t="shared" si="20"/>
        <v>#VALUE!</v>
      </c>
      <c r="S64" s="4"/>
      <c r="T64" s="4" t="e">
        <f>IF($A64="","",IF(OR(Inputs!$B$27="",Inputs!$B$28=""),0,IF($A64&lt;Inputs!$B$27,0,IF($A64&gt;Inputs!$B$29,0,$R64/MAX(1,Inputs!$B$28-DATEDIF(Inputs!$B$27,$A64,"m"))))))</f>
        <v>#VALUE!</v>
      </c>
      <c r="U64" s="4"/>
      <c r="V64" s="4" t="e">
        <f t="shared" si="14"/>
        <v>#VALUE!</v>
      </c>
      <c r="W64" s="5" t="e">
        <f>IF($A64="","",MAX(Inputs!$B$14,(IF($B64="",Inputs!$B$20,$B64)+Inputs!$B$13)))</f>
        <v>#VALUE!</v>
      </c>
      <c r="X64" s="4" t="e">
        <f t="shared" si="15"/>
        <v>#VALUE!</v>
      </c>
      <c r="Y64" s="4" t="e">
        <f>IF($A64="","",IF(AND(IF($U64="",0,$U64)&gt;0,Inputs!$B$24&lt;&gt;"",$A64&lt;=EOMONTH(Inputs!$B$24,0)),IF($U64="",0,$U64)*Inputs!$B$19,0))</f>
        <v>#VALUE!</v>
      </c>
      <c r="Z64" s="4" t="e">
        <f t="shared" si="16"/>
        <v>#VALUE!</v>
      </c>
      <c r="AA64" s="4" t="e">
        <f t="shared" si="17"/>
        <v>#VALUE!</v>
      </c>
      <c r="AB64" s="4" t="e">
        <f t="shared" si="18"/>
        <v>#VALUE!</v>
      </c>
      <c r="AC64" s="4" t="e">
        <f>IF($A64="","",SUM($AB$2:$AB64))</f>
        <v>#VALUE!</v>
      </c>
    </row>
    <row r="65" spans="1:29" x14ac:dyDescent="0.45">
      <c r="A65" s="3" t="e">
        <f>IF(OR($A64="",AND(Inputs!$B$31&lt;&gt;"",EOMONTH($A64,1)&gt;Inputs!$B$31)),"",EOMONTH($A64,1))</f>
        <v>#VALUE!</v>
      </c>
      <c r="B65" s="5"/>
      <c r="C65" s="4"/>
      <c r="D65" s="5"/>
      <c r="E65" s="8" t="e">
        <f>IF($A65="","",MAX(0,(1-(IF($D65="",Inputs!$B$21,$D65)))*IF($A65&lt;=DATE(2026,7,31),9,IF($A65&lt;=DATE(2027,7,31),7.5,6))))</f>
        <v>#VALUE!</v>
      </c>
      <c r="F65" s="4" t="e">
        <f>IF($A65="","",(IF($C65="",Inputs!$B$22,$C65))*$E65)</f>
        <v>#VALUE!</v>
      </c>
      <c r="G65" s="4" t="e">
        <f>IF($A65="","",Inputs!$B$4+IF(AND(Inputs!$B$6&lt;&gt;"",$A65&gt;=EOMONTH(Inputs!$B$6,0)),Inputs!$B$5,0))</f>
        <v>#VALUE!</v>
      </c>
      <c r="H65" s="4" t="e">
        <f t="shared" si="19"/>
        <v>#VALUE!</v>
      </c>
      <c r="I65" s="4"/>
      <c r="J65" s="4"/>
      <c r="K65" s="4" t="e">
        <f t="shared" si="11"/>
        <v>#VALUE!</v>
      </c>
      <c r="L65" s="5" t="e">
        <f>IF($A65="","",MAX(Inputs!$B$14,(IF($B65="",Inputs!$B$20,$B65)+Inputs!$B$12)))</f>
        <v>#VALUE!</v>
      </c>
      <c r="M65" s="4" t="e">
        <f t="shared" si="12"/>
        <v>#VALUE!</v>
      </c>
      <c r="N65" s="4" t="e">
        <f t="shared" si="13"/>
        <v>#VALUE!</v>
      </c>
      <c r="O65" s="4" t="e">
        <f>IF($A65="","",$N65*Inputs!$B$15/12)</f>
        <v>#VALUE!</v>
      </c>
      <c r="P65" s="4" t="e">
        <f>IF($A65="","",SUM(IF($A65=EOMONTH(Inputs!$B$3,0),Inputs!$B$4*Inputs!$B$16,0),IF(Inputs!$B$3="",0,IF($A65=EOMONTH(Inputs!$B$3,12),Inputs!$B$4*Inputs!$B$16,0)),IF(Inputs!$B$3="",0,IF($A65=EOMONTH(Inputs!$B$3,24),Inputs!$B$4*Inputs!$B$16,0))))</f>
        <v>#VALUE!</v>
      </c>
      <c r="Q65" s="4" t="e">
        <f>IF($A65="","",IF(AND(Inputs!$B$18&lt;&gt;"",$A65=EOMONTH(Inputs!$B$18,0),Inputs!$B$18&lt;=Inputs!$B$23),Inputs!$B$4*Inputs!$B$17,0))</f>
        <v>#VALUE!</v>
      </c>
      <c r="R65" s="4" t="e">
        <f t="shared" si="20"/>
        <v>#VALUE!</v>
      </c>
      <c r="S65" s="4"/>
      <c r="T65" s="4" t="e">
        <f>IF($A65="","",IF(OR(Inputs!$B$27="",Inputs!$B$28=""),0,IF($A65&lt;Inputs!$B$27,0,IF($A65&gt;Inputs!$B$29,0,$R65/MAX(1,Inputs!$B$28-DATEDIF(Inputs!$B$27,$A65,"m"))))))</f>
        <v>#VALUE!</v>
      </c>
      <c r="U65" s="4"/>
      <c r="V65" s="4" t="e">
        <f t="shared" si="14"/>
        <v>#VALUE!</v>
      </c>
      <c r="W65" s="5" t="e">
        <f>IF($A65="","",MAX(Inputs!$B$14,(IF($B65="",Inputs!$B$20,$B65)+Inputs!$B$13)))</f>
        <v>#VALUE!</v>
      </c>
      <c r="X65" s="4" t="e">
        <f t="shared" si="15"/>
        <v>#VALUE!</v>
      </c>
      <c r="Y65" s="4" t="e">
        <f>IF($A65="","",IF(AND(IF($U65="",0,$U65)&gt;0,Inputs!$B$24&lt;&gt;"",$A65&lt;=EOMONTH(Inputs!$B$24,0)),IF($U65="",0,$U65)*Inputs!$B$19,0))</f>
        <v>#VALUE!</v>
      </c>
      <c r="Z65" s="4" t="e">
        <f t="shared" si="16"/>
        <v>#VALUE!</v>
      </c>
      <c r="AA65" s="4" t="e">
        <f t="shared" si="17"/>
        <v>#VALUE!</v>
      </c>
      <c r="AB65" s="4" t="e">
        <f t="shared" si="18"/>
        <v>#VALUE!</v>
      </c>
      <c r="AC65" s="4" t="e">
        <f>IF($A65="","",SUM($AB$2:$AB65))</f>
        <v>#VALUE!</v>
      </c>
    </row>
    <row r="66" spans="1:29" x14ac:dyDescent="0.45">
      <c r="A66" s="3" t="e">
        <f>IF(OR($A65="",AND(Inputs!$B$31&lt;&gt;"",EOMONTH($A65,1)&gt;Inputs!$B$31)),"",EOMONTH($A65,1))</f>
        <v>#VALUE!</v>
      </c>
      <c r="B66" s="5"/>
      <c r="C66" s="4"/>
      <c r="D66" s="5"/>
      <c r="E66" s="8" t="e">
        <f>IF($A66="","",MAX(0,(1-(IF($D66="",Inputs!$B$21,$D66)))*IF($A66&lt;=DATE(2026,7,31),9,IF($A66&lt;=DATE(2027,7,31),7.5,6))))</f>
        <v>#VALUE!</v>
      </c>
      <c r="F66" s="4" t="e">
        <f>IF($A66="","",(IF($C66="",Inputs!$B$22,$C66))*$E66)</f>
        <v>#VALUE!</v>
      </c>
      <c r="G66" s="4" t="e">
        <f>IF($A66="","",Inputs!$B$4+IF(AND(Inputs!$B$6&lt;&gt;"",$A66&gt;=EOMONTH(Inputs!$B$6,0)),Inputs!$B$5,0))</f>
        <v>#VALUE!</v>
      </c>
      <c r="H66" s="4" t="e">
        <f t="shared" si="19"/>
        <v>#VALUE!</v>
      </c>
      <c r="I66" s="4"/>
      <c r="J66" s="4"/>
      <c r="K66" s="4" t="e">
        <f t="shared" ref="K66:K97" si="21">IF($A66="","",MAX(0,MIN($H66+IF($I66="",0,$I66)-IF($J66="",0,$J66),MIN($G66,$F66))))</f>
        <v>#VALUE!</v>
      </c>
      <c r="L66" s="5" t="e">
        <f>IF($A66="","",MAX(Inputs!$B$14,(IF($B66="",Inputs!$B$20,$B66)+Inputs!$B$12)))</f>
        <v>#VALUE!</v>
      </c>
      <c r="M66" s="4" t="e">
        <f t="shared" ref="M66:M97" si="22">IF($A66="","",(($H66+$K66)/2)*$L66/12)</f>
        <v>#VALUE!</v>
      </c>
      <c r="N66" s="4" t="e">
        <f t="shared" ref="N66:N97" si="23">IF($A66="","",MAX(0,$G66-$K66))</f>
        <v>#VALUE!</v>
      </c>
      <c r="O66" s="4" t="e">
        <f>IF($A66="","",$N66*Inputs!$B$15/12)</f>
        <v>#VALUE!</v>
      </c>
      <c r="P66" s="4" t="e">
        <f>IF($A66="","",SUM(IF($A66=EOMONTH(Inputs!$B$3,0),Inputs!$B$4*Inputs!$B$16,0),IF(Inputs!$B$3="",0,IF($A66=EOMONTH(Inputs!$B$3,12),Inputs!$B$4*Inputs!$B$16,0)),IF(Inputs!$B$3="",0,IF($A66=EOMONTH(Inputs!$B$3,24),Inputs!$B$4*Inputs!$B$16,0))))</f>
        <v>#VALUE!</v>
      </c>
      <c r="Q66" s="4" t="e">
        <f>IF($A66="","",IF(AND(Inputs!$B$18&lt;&gt;"",$A66=EOMONTH(Inputs!$B$18,0),Inputs!$B$18&lt;=Inputs!$B$23),Inputs!$B$4*Inputs!$B$17,0))</f>
        <v>#VALUE!</v>
      </c>
      <c r="R66" s="4" t="e">
        <f t="shared" si="20"/>
        <v>#VALUE!</v>
      </c>
      <c r="S66" s="4"/>
      <c r="T66" s="4" t="e">
        <f>IF($A66="","",IF(OR(Inputs!$B$27="",Inputs!$B$28=""),0,IF($A66&lt;Inputs!$B$27,0,IF($A66&gt;Inputs!$B$29,0,$R66/MAX(1,Inputs!$B$28-DATEDIF(Inputs!$B$27,$A66,"m"))))))</f>
        <v>#VALUE!</v>
      </c>
      <c r="U66" s="4"/>
      <c r="V66" s="4" t="e">
        <f t="shared" ref="V66:V97" si="24">IF($A66="","",MAX(0,$R66+IF($S66="",0,$S66)-$T66-IF($U66="",0,$U66)))</f>
        <v>#VALUE!</v>
      </c>
      <c r="W66" s="5" t="e">
        <f>IF($A66="","",MAX(Inputs!$B$14,(IF($B66="",Inputs!$B$20,$B66)+Inputs!$B$13)))</f>
        <v>#VALUE!</v>
      </c>
      <c r="X66" s="4" t="e">
        <f t="shared" ref="X66:X97" si="25">IF($A66="","",(($R66+$V66)/2)*$W66/12)</f>
        <v>#VALUE!</v>
      </c>
      <c r="Y66" s="4" t="e">
        <f>IF($A66="","",IF(AND(IF($U66="",0,$U66)&gt;0,Inputs!$B$24&lt;&gt;"",$A66&lt;=EOMONTH(Inputs!$B$24,0)),IF($U66="",0,$U66)*Inputs!$B$19,0))</f>
        <v>#VALUE!</v>
      </c>
      <c r="Z66" s="4" t="e">
        <f t="shared" ref="Z66:Z97" si="26">IF($A66="","",IF($I66="",0,$I66)+IF($S66="",0,$S66))</f>
        <v>#VALUE!</v>
      </c>
      <c r="AA66" s="4" t="e">
        <f t="shared" ref="AA66:AA97" si="27">IF($A66="","",IF($J66="",0,$J66)+$M66+$O66+$P66+$Q66+$T66+IF($U66="",0,$U66)+$X66+$Y66)</f>
        <v>#VALUE!</v>
      </c>
      <c r="AB66" s="4" t="e">
        <f t="shared" ref="AB66:AB97" si="28">IF($A66="","",$Z66-$AA66)</f>
        <v>#VALUE!</v>
      </c>
      <c r="AC66" s="4" t="e">
        <f>IF($A66="","",SUM($AB$2:$AB66))</f>
        <v>#VALUE!</v>
      </c>
    </row>
    <row r="67" spans="1:29" x14ac:dyDescent="0.45">
      <c r="A67" s="3" t="e">
        <f>IF(OR($A66="",AND(Inputs!$B$31&lt;&gt;"",EOMONTH($A66,1)&gt;Inputs!$B$31)),"",EOMONTH($A66,1))</f>
        <v>#VALUE!</v>
      </c>
      <c r="B67" s="5"/>
      <c r="C67" s="4"/>
      <c r="D67" s="5"/>
      <c r="E67" s="8" t="e">
        <f>IF($A67="","",MAX(0,(1-(IF($D67="",Inputs!$B$21,$D67)))*IF($A67&lt;=DATE(2026,7,31),9,IF($A67&lt;=DATE(2027,7,31),7.5,6))))</f>
        <v>#VALUE!</v>
      </c>
      <c r="F67" s="4" t="e">
        <f>IF($A67="","",(IF($C67="",Inputs!$B$22,$C67))*$E67)</f>
        <v>#VALUE!</v>
      </c>
      <c r="G67" s="4" t="e">
        <f>IF($A67="","",Inputs!$B$4+IF(AND(Inputs!$B$6&lt;&gt;"",$A67&gt;=EOMONTH(Inputs!$B$6,0)),Inputs!$B$5,0))</f>
        <v>#VALUE!</v>
      </c>
      <c r="H67" s="4" t="e">
        <f t="shared" ref="H67:H98" si="29">IF($A67="","",IF($A66="",0,$K66))</f>
        <v>#VALUE!</v>
      </c>
      <c r="I67" s="4"/>
      <c r="J67" s="4"/>
      <c r="K67" s="4" t="e">
        <f t="shared" si="21"/>
        <v>#VALUE!</v>
      </c>
      <c r="L67" s="5" t="e">
        <f>IF($A67="","",MAX(Inputs!$B$14,(IF($B67="",Inputs!$B$20,$B67)+Inputs!$B$12)))</f>
        <v>#VALUE!</v>
      </c>
      <c r="M67" s="4" t="e">
        <f t="shared" si="22"/>
        <v>#VALUE!</v>
      </c>
      <c r="N67" s="4" t="e">
        <f t="shared" si="23"/>
        <v>#VALUE!</v>
      </c>
      <c r="O67" s="4" t="e">
        <f>IF($A67="","",$N67*Inputs!$B$15/12)</f>
        <v>#VALUE!</v>
      </c>
      <c r="P67" s="4" t="e">
        <f>IF($A67="","",SUM(IF($A67=EOMONTH(Inputs!$B$3,0),Inputs!$B$4*Inputs!$B$16,0),IF(Inputs!$B$3="",0,IF($A67=EOMONTH(Inputs!$B$3,12),Inputs!$B$4*Inputs!$B$16,0)),IF(Inputs!$B$3="",0,IF($A67=EOMONTH(Inputs!$B$3,24),Inputs!$B$4*Inputs!$B$16,0))))</f>
        <v>#VALUE!</v>
      </c>
      <c r="Q67" s="4" t="e">
        <f>IF($A67="","",IF(AND(Inputs!$B$18&lt;&gt;"",$A67=EOMONTH(Inputs!$B$18,0),Inputs!$B$18&lt;=Inputs!$B$23),Inputs!$B$4*Inputs!$B$17,0))</f>
        <v>#VALUE!</v>
      </c>
      <c r="R67" s="4" t="e">
        <f t="shared" ref="R67:R98" si="30">IF($A67="","",IF($A66="",0,$V66))</f>
        <v>#VALUE!</v>
      </c>
      <c r="S67" s="4"/>
      <c r="T67" s="4" t="e">
        <f>IF($A67="","",IF(OR(Inputs!$B$27="",Inputs!$B$28=""),0,IF($A67&lt;Inputs!$B$27,0,IF($A67&gt;Inputs!$B$29,0,$R67/MAX(1,Inputs!$B$28-DATEDIF(Inputs!$B$27,$A67,"m"))))))</f>
        <v>#VALUE!</v>
      </c>
      <c r="U67" s="4"/>
      <c r="V67" s="4" t="e">
        <f t="shared" si="24"/>
        <v>#VALUE!</v>
      </c>
      <c r="W67" s="5" t="e">
        <f>IF($A67="","",MAX(Inputs!$B$14,(IF($B67="",Inputs!$B$20,$B67)+Inputs!$B$13)))</f>
        <v>#VALUE!</v>
      </c>
      <c r="X67" s="4" t="e">
        <f t="shared" si="25"/>
        <v>#VALUE!</v>
      </c>
      <c r="Y67" s="4" t="e">
        <f>IF($A67="","",IF(AND(IF($U67="",0,$U67)&gt;0,Inputs!$B$24&lt;&gt;"",$A67&lt;=EOMONTH(Inputs!$B$24,0)),IF($U67="",0,$U67)*Inputs!$B$19,0))</f>
        <v>#VALUE!</v>
      </c>
      <c r="Z67" s="4" t="e">
        <f t="shared" si="26"/>
        <v>#VALUE!</v>
      </c>
      <c r="AA67" s="4" t="e">
        <f t="shared" si="27"/>
        <v>#VALUE!</v>
      </c>
      <c r="AB67" s="4" t="e">
        <f t="shared" si="28"/>
        <v>#VALUE!</v>
      </c>
      <c r="AC67" s="4" t="e">
        <f>IF($A67="","",SUM($AB$2:$AB67))</f>
        <v>#VALUE!</v>
      </c>
    </row>
    <row r="68" spans="1:29" x14ac:dyDescent="0.45">
      <c r="A68" s="3" t="e">
        <f>IF(OR($A67="",AND(Inputs!$B$31&lt;&gt;"",EOMONTH($A67,1)&gt;Inputs!$B$31)),"",EOMONTH($A67,1))</f>
        <v>#VALUE!</v>
      </c>
      <c r="B68" s="5"/>
      <c r="C68" s="4"/>
      <c r="D68" s="5"/>
      <c r="E68" s="8" t="e">
        <f>IF($A68="","",MAX(0,(1-(IF($D68="",Inputs!$B$21,$D68)))*IF($A68&lt;=DATE(2026,7,31),9,IF($A68&lt;=DATE(2027,7,31),7.5,6))))</f>
        <v>#VALUE!</v>
      </c>
      <c r="F68" s="4" t="e">
        <f>IF($A68="","",(IF($C68="",Inputs!$B$22,$C68))*$E68)</f>
        <v>#VALUE!</v>
      </c>
      <c r="G68" s="4" t="e">
        <f>IF($A68="","",Inputs!$B$4+IF(AND(Inputs!$B$6&lt;&gt;"",$A68&gt;=EOMONTH(Inputs!$B$6,0)),Inputs!$B$5,0))</f>
        <v>#VALUE!</v>
      </c>
      <c r="H68" s="4" t="e">
        <f t="shared" si="29"/>
        <v>#VALUE!</v>
      </c>
      <c r="I68" s="4"/>
      <c r="J68" s="4"/>
      <c r="K68" s="4" t="e">
        <f t="shared" si="21"/>
        <v>#VALUE!</v>
      </c>
      <c r="L68" s="5" t="e">
        <f>IF($A68="","",MAX(Inputs!$B$14,(IF($B68="",Inputs!$B$20,$B68)+Inputs!$B$12)))</f>
        <v>#VALUE!</v>
      </c>
      <c r="M68" s="4" t="e">
        <f t="shared" si="22"/>
        <v>#VALUE!</v>
      </c>
      <c r="N68" s="4" t="e">
        <f t="shared" si="23"/>
        <v>#VALUE!</v>
      </c>
      <c r="O68" s="4" t="e">
        <f>IF($A68="","",$N68*Inputs!$B$15/12)</f>
        <v>#VALUE!</v>
      </c>
      <c r="P68" s="4" t="e">
        <f>IF($A68="","",SUM(IF($A68=EOMONTH(Inputs!$B$3,0),Inputs!$B$4*Inputs!$B$16,0),IF(Inputs!$B$3="",0,IF($A68=EOMONTH(Inputs!$B$3,12),Inputs!$B$4*Inputs!$B$16,0)),IF(Inputs!$B$3="",0,IF($A68=EOMONTH(Inputs!$B$3,24),Inputs!$B$4*Inputs!$B$16,0))))</f>
        <v>#VALUE!</v>
      </c>
      <c r="Q68" s="4" t="e">
        <f>IF($A68="","",IF(AND(Inputs!$B$18&lt;&gt;"",$A68=EOMONTH(Inputs!$B$18,0),Inputs!$B$18&lt;=Inputs!$B$23),Inputs!$B$4*Inputs!$B$17,0))</f>
        <v>#VALUE!</v>
      </c>
      <c r="R68" s="4" t="e">
        <f t="shared" si="30"/>
        <v>#VALUE!</v>
      </c>
      <c r="S68" s="4"/>
      <c r="T68" s="4" t="e">
        <f>IF($A68="","",IF(OR(Inputs!$B$27="",Inputs!$B$28=""),0,IF($A68&lt;Inputs!$B$27,0,IF($A68&gt;Inputs!$B$29,0,$R68/MAX(1,Inputs!$B$28-DATEDIF(Inputs!$B$27,$A68,"m"))))))</f>
        <v>#VALUE!</v>
      </c>
      <c r="U68" s="4"/>
      <c r="V68" s="4" t="e">
        <f t="shared" si="24"/>
        <v>#VALUE!</v>
      </c>
      <c r="W68" s="5" t="e">
        <f>IF($A68="","",MAX(Inputs!$B$14,(IF($B68="",Inputs!$B$20,$B68)+Inputs!$B$13)))</f>
        <v>#VALUE!</v>
      </c>
      <c r="X68" s="4" t="e">
        <f t="shared" si="25"/>
        <v>#VALUE!</v>
      </c>
      <c r="Y68" s="4" t="e">
        <f>IF($A68="","",IF(AND(IF($U68="",0,$U68)&gt;0,Inputs!$B$24&lt;&gt;"",$A68&lt;=EOMONTH(Inputs!$B$24,0)),IF($U68="",0,$U68)*Inputs!$B$19,0))</f>
        <v>#VALUE!</v>
      </c>
      <c r="Z68" s="4" t="e">
        <f t="shared" si="26"/>
        <v>#VALUE!</v>
      </c>
      <c r="AA68" s="4" t="e">
        <f t="shared" si="27"/>
        <v>#VALUE!</v>
      </c>
      <c r="AB68" s="4" t="e">
        <f t="shared" si="28"/>
        <v>#VALUE!</v>
      </c>
      <c r="AC68" s="4" t="e">
        <f>IF($A68="","",SUM($AB$2:$AB68))</f>
        <v>#VALUE!</v>
      </c>
    </row>
    <row r="69" spans="1:29" x14ac:dyDescent="0.45">
      <c r="A69" s="3" t="e">
        <f>IF(OR($A68="",AND(Inputs!$B$31&lt;&gt;"",EOMONTH($A68,1)&gt;Inputs!$B$31)),"",EOMONTH($A68,1))</f>
        <v>#VALUE!</v>
      </c>
      <c r="B69" s="5"/>
      <c r="C69" s="4"/>
      <c r="D69" s="5"/>
      <c r="E69" s="8" t="e">
        <f>IF($A69="","",MAX(0,(1-(IF($D69="",Inputs!$B$21,$D69)))*IF($A69&lt;=DATE(2026,7,31),9,IF($A69&lt;=DATE(2027,7,31),7.5,6))))</f>
        <v>#VALUE!</v>
      </c>
      <c r="F69" s="4" t="e">
        <f>IF($A69="","",(IF($C69="",Inputs!$B$22,$C69))*$E69)</f>
        <v>#VALUE!</v>
      </c>
      <c r="G69" s="4" t="e">
        <f>IF($A69="","",Inputs!$B$4+IF(AND(Inputs!$B$6&lt;&gt;"",$A69&gt;=EOMONTH(Inputs!$B$6,0)),Inputs!$B$5,0))</f>
        <v>#VALUE!</v>
      </c>
      <c r="H69" s="4" t="e">
        <f t="shared" si="29"/>
        <v>#VALUE!</v>
      </c>
      <c r="I69" s="4"/>
      <c r="J69" s="4"/>
      <c r="K69" s="4" t="e">
        <f t="shared" si="21"/>
        <v>#VALUE!</v>
      </c>
      <c r="L69" s="5" t="e">
        <f>IF($A69="","",MAX(Inputs!$B$14,(IF($B69="",Inputs!$B$20,$B69)+Inputs!$B$12)))</f>
        <v>#VALUE!</v>
      </c>
      <c r="M69" s="4" t="e">
        <f t="shared" si="22"/>
        <v>#VALUE!</v>
      </c>
      <c r="N69" s="4" t="e">
        <f t="shared" si="23"/>
        <v>#VALUE!</v>
      </c>
      <c r="O69" s="4" t="e">
        <f>IF($A69="","",$N69*Inputs!$B$15/12)</f>
        <v>#VALUE!</v>
      </c>
      <c r="P69" s="4" t="e">
        <f>IF($A69="","",SUM(IF($A69=EOMONTH(Inputs!$B$3,0),Inputs!$B$4*Inputs!$B$16,0),IF(Inputs!$B$3="",0,IF($A69=EOMONTH(Inputs!$B$3,12),Inputs!$B$4*Inputs!$B$16,0)),IF(Inputs!$B$3="",0,IF($A69=EOMONTH(Inputs!$B$3,24),Inputs!$B$4*Inputs!$B$16,0))))</f>
        <v>#VALUE!</v>
      </c>
      <c r="Q69" s="4" t="e">
        <f>IF($A69="","",IF(AND(Inputs!$B$18&lt;&gt;"",$A69=EOMONTH(Inputs!$B$18,0),Inputs!$B$18&lt;=Inputs!$B$23),Inputs!$B$4*Inputs!$B$17,0))</f>
        <v>#VALUE!</v>
      </c>
      <c r="R69" s="4" t="e">
        <f t="shared" si="30"/>
        <v>#VALUE!</v>
      </c>
      <c r="S69" s="4"/>
      <c r="T69" s="4" t="e">
        <f>IF($A69="","",IF(OR(Inputs!$B$27="",Inputs!$B$28=""),0,IF($A69&lt;Inputs!$B$27,0,IF($A69&gt;Inputs!$B$29,0,$R69/MAX(1,Inputs!$B$28-DATEDIF(Inputs!$B$27,$A69,"m"))))))</f>
        <v>#VALUE!</v>
      </c>
      <c r="U69" s="4"/>
      <c r="V69" s="4" t="e">
        <f t="shared" si="24"/>
        <v>#VALUE!</v>
      </c>
      <c r="W69" s="5" t="e">
        <f>IF($A69="","",MAX(Inputs!$B$14,(IF($B69="",Inputs!$B$20,$B69)+Inputs!$B$13)))</f>
        <v>#VALUE!</v>
      </c>
      <c r="X69" s="4" t="e">
        <f t="shared" si="25"/>
        <v>#VALUE!</v>
      </c>
      <c r="Y69" s="4" t="e">
        <f>IF($A69="","",IF(AND(IF($U69="",0,$U69)&gt;0,Inputs!$B$24&lt;&gt;"",$A69&lt;=EOMONTH(Inputs!$B$24,0)),IF($U69="",0,$U69)*Inputs!$B$19,0))</f>
        <v>#VALUE!</v>
      </c>
      <c r="Z69" s="4" t="e">
        <f t="shared" si="26"/>
        <v>#VALUE!</v>
      </c>
      <c r="AA69" s="4" t="e">
        <f t="shared" si="27"/>
        <v>#VALUE!</v>
      </c>
      <c r="AB69" s="4" t="e">
        <f t="shared" si="28"/>
        <v>#VALUE!</v>
      </c>
      <c r="AC69" s="4" t="e">
        <f>IF($A69="","",SUM($AB$2:$AB69))</f>
        <v>#VALUE!</v>
      </c>
    </row>
    <row r="70" spans="1:29" x14ac:dyDescent="0.45">
      <c r="A70" s="3" t="e">
        <f>IF(OR($A69="",AND(Inputs!$B$31&lt;&gt;"",EOMONTH($A69,1)&gt;Inputs!$B$31)),"",EOMONTH($A69,1))</f>
        <v>#VALUE!</v>
      </c>
      <c r="B70" s="5"/>
      <c r="C70" s="4"/>
      <c r="D70" s="5"/>
      <c r="E70" s="8" t="e">
        <f>IF($A70="","",MAX(0,(1-(IF($D70="",Inputs!$B$21,$D70)))*IF($A70&lt;=DATE(2026,7,31),9,IF($A70&lt;=DATE(2027,7,31),7.5,6))))</f>
        <v>#VALUE!</v>
      </c>
      <c r="F70" s="4" t="e">
        <f>IF($A70="","",(IF($C70="",Inputs!$B$22,$C70))*$E70)</f>
        <v>#VALUE!</v>
      </c>
      <c r="G70" s="4" t="e">
        <f>IF($A70="","",Inputs!$B$4+IF(AND(Inputs!$B$6&lt;&gt;"",$A70&gt;=EOMONTH(Inputs!$B$6,0)),Inputs!$B$5,0))</f>
        <v>#VALUE!</v>
      </c>
      <c r="H70" s="4" t="e">
        <f t="shared" si="29"/>
        <v>#VALUE!</v>
      </c>
      <c r="I70" s="4"/>
      <c r="J70" s="4"/>
      <c r="K70" s="4" t="e">
        <f t="shared" si="21"/>
        <v>#VALUE!</v>
      </c>
      <c r="L70" s="5" t="e">
        <f>IF($A70="","",MAX(Inputs!$B$14,(IF($B70="",Inputs!$B$20,$B70)+Inputs!$B$12)))</f>
        <v>#VALUE!</v>
      </c>
      <c r="M70" s="4" t="e">
        <f t="shared" si="22"/>
        <v>#VALUE!</v>
      </c>
      <c r="N70" s="4" t="e">
        <f t="shared" si="23"/>
        <v>#VALUE!</v>
      </c>
      <c r="O70" s="4" t="e">
        <f>IF($A70="","",$N70*Inputs!$B$15/12)</f>
        <v>#VALUE!</v>
      </c>
      <c r="P70" s="4" t="e">
        <f>IF($A70="","",SUM(IF($A70=EOMONTH(Inputs!$B$3,0),Inputs!$B$4*Inputs!$B$16,0),IF(Inputs!$B$3="",0,IF($A70=EOMONTH(Inputs!$B$3,12),Inputs!$B$4*Inputs!$B$16,0)),IF(Inputs!$B$3="",0,IF($A70=EOMONTH(Inputs!$B$3,24),Inputs!$B$4*Inputs!$B$16,0))))</f>
        <v>#VALUE!</v>
      </c>
      <c r="Q70" s="4" t="e">
        <f>IF($A70="","",IF(AND(Inputs!$B$18&lt;&gt;"",$A70=EOMONTH(Inputs!$B$18,0),Inputs!$B$18&lt;=Inputs!$B$23),Inputs!$B$4*Inputs!$B$17,0))</f>
        <v>#VALUE!</v>
      </c>
      <c r="R70" s="4" t="e">
        <f t="shared" si="30"/>
        <v>#VALUE!</v>
      </c>
      <c r="S70" s="4"/>
      <c r="T70" s="4" t="e">
        <f>IF($A70="","",IF(OR(Inputs!$B$27="",Inputs!$B$28=""),0,IF($A70&lt;Inputs!$B$27,0,IF($A70&gt;Inputs!$B$29,0,$R70/MAX(1,Inputs!$B$28-DATEDIF(Inputs!$B$27,$A70,"m"))))))</f>
        <v>#VALUE!</v>
      </c>
      <c r="U70" s="4"/>
      <c r="V70" s="4" t="e">
        <f t="shared" si="24"/>
        <v>#VALUE!</v>
      </c>
      <c r="W70" s="5" t="e">
        <f>IF($A70="","",MAX(Inputs!$B$14,(IF($B70="",Inputs!$B$20,$B70)+Inputs!$B$13)))</f>
        <v>#VALUE!</v>
      </c>
      <c r="X70" s="4" t="e">
        <f t="shared" si="25"/>
        <v>#VALUE!</v>
      </c>
      <c r="Y70" s="4" t="e">
        <f>IF($A70="","",IF(AND(IF($U70="",0,$U70)&gt;0,Inputs!$B$24&lt;&gt;"",$A70&lt;=EOMONTH(Inputs!$B$24,0)),IF($U70="",0,$U70)*Inputs!$B$19,0))</f>
        <v>#VALUE!</v>
      </c>
      <c r="Z70" s="4" t="e">
        <f t="shared" si="26"/>
        <v>#VALUE!</v>
      </c>
      <c r="AA70" s="4" t="e">
        <f t="shared" si="27"/>
        <v>#VALUE!</v>
      </c>
      <c r="AB70" s="4" t="e">
        <f t="shared" si="28"/>
        <v>#VALUE!</v>
      </c>
      <c r="AC70" s="4" t="e">
        <f>IF($A70="","",SUM($AB$2:$AB70))</f>
        <v>#VALUE!</v>
      </c>
    </row>
    <row r="71" spans="1:29" x14ac:dyDescent="0.45">
      <c r="A71" s="3" t="e">
        <f>IF(OR($A70="",AND(Inputs!$B$31&lt;&gt;"",EOMONTH($A70,1)&gt;Inputs!$B$31)),"",EOMONTH($A70,1))</f>
        <v>#VALUE!</v>
      </c>
      <c r="B71" s="5"/>
      <c r="C71" s="4"/>
      <c r="D71" s="5"/>
      <c r="E71" s="8" t="e">
        <f>IF($A71="","",MAX(0,(1-(IF($D71="",Inputs!$B$21,$D71)))*IF($A71&lt;=DATE(2026,7,31),9,IF($A71&lt;=DATE(2027,7,31),7.5,6))))</f>
        <v>#VALUE!</v>
      </c>
      <c r="F71" s="4" t="e">
        <f>IF($A71="","",(IF($C71="",Inputs!$B$22,$C71))*$E71)</f>
        <v>#VALUE!</v>
      </c>
      <c r="G71" s="4" t="e">
        <f>IF($A71="","",Inputs!$B$4+IF(AND(Inputs!$B$6&lt;&gt;"",$A71&gt;=EOMONTH(Inputs!$B$6,0)),Inputs!$B$5,0))</f>
        <v>#VALUE!</v>
      </c>
      <c r="H71" s="4" t="e">
        <f t="shared" si="29"/>
        <v>#VALUE!</v>
      </c>
      <c r="I71" s="4"/>
      <c r="J71" s="4"/>
      <c r="K71" s="4" t="e">
        <f t="shared" si="21"/>
        <v>#VALUE!</v>
      </c>
      <c r="L71" s="5" t="e">
        <f>IF($A71="","",MAX(Inputs!$B$14,(IF($B71="",Inputs!$B$20,$B71)+Inputs!$B$12)))</f>
        <v>#VALUE!</v>
      </c>
      <c r="M71" s="4" t="e">
        <f t="shared" si="22"/>
        <v>#VALUE!</v>
      </c>
      <c r="N71" s="4" t="e">
        <f t="shared" si="23"/>
        <v>#VALUE!</v>
      </c>
      <c r="O71" s="4" t="e">
        <f>IF($A71="","",$N71*Inputs!$B$15/12)</f>
        <v>#VALUE!</v>
      </c>
      <c r="P71" s="4" t="e">
        <f>IF($A71="","",SUM(IF($A71=EOMONTH(Inputs!$B$3,0),Inputs!$B$4*Inputs!$B$16,0),IF(Inputs!$B$3="",0,IF($A71=EOMONTH(Inputs!$B$3,12),Inputs!$B$4*Inputs!$B$16,0)),IF(Inputs!$B$3="",0,IF($A71=EOMONTH(Inputs!$B$3,24),Inputs!$B$4*Inputs!$B$16,0))))</f>
        <v>#VALUE!</v>
      </c>
      <c r="Q71" s="4" t="e">
        <f>IF($A71="","",IF(AND(Inputs!$B$18&lt;&gt;"",$A71=EOMONTH(Inputs!$B$18,0),Inputs!$B$18&lt;=Inputs!$B$23),Inputs!$B$4*Inputs!$B$17,0))</f>
        <v>#VALUE!</v>
      </c>
      <c r="R71" s="4" t="e">
        <f t="shared" si="30"/>
        <v>#VALUE!</v>
      </c>
      <c r="S71" s="4"/>
      <c r="T71" s="4" t="e">
        <f>IF($A71="","",IF(OR(Inputs!$B$27="",Inputs!$B$28=""),0,IF($A71&lt;Inputs!$B$27,0,IF($A71&gt;Inputs!$B$29,0,$R71/MAX(1,Inputs!$B$28-DATEDIF(Inputs!$B$27,$A71,"m"))))))</f>
        <v>#VALUE!</v>
      </c>
      <c r="U71" s="4"/>
      <c r="V71" s="4" t="e">
        <f t="shared" si="24"/>
        <v>#VALUE!</v>
      </c>
      <c r="W71" s="5" t="e">
        <f>IF($A71="","",MAX(Inputs!$B$14,(IF($B71="",Inputs!$B$20,$B71)+Inputs!$B$13)))</f>
        <v>#VALUE!</v>
      </c>
      <c r="X71" s="4" t="e">
        <f t="shared" si="25"/>
        <v>#VALUE!</v>
      </c>
      <c r="Y71" s="4" t="e">
        <f>IF($A71="","",IF(AND(IF($U71="",0,$U71)&gt;0,Inputs!$B$24&lt;&gt;"",$A71&lt;=EOMONTH(Inputs!$B$24,0)),IF($U71="",0,$U71)*Inputs!$B$19,0))</f>
        <v>#VALUE!</v>
      </c>
      <c r="Z71" s="4" t="e">
        <f t="shared" si="26"/>
        <v>#VALUE!</v>
      </c>
      <c r="AA71" s="4" t="e">
        <f t="shared" si="27"/>
        <v>#VALUE!</v>
      </c>
      <c r="AB71" s="4" t="e">
        <f t="shared" si="28"/>
        <v>#VALUE!</v>
      </c>
      <c r="AC71" s="4" t="e">
        <f>IF($A71="","",SUM($AB$2:$AB71))</f>
        <v>#VALUE!</v>
      </c>
    </row>
    <row r="72" spans="1:29" x14ac:dyDescent="0.45">
      <c r="A72" s="3" t="e">
        <f>IF(OR($A71="",AND(Inputs!$B$31&lt;&gt;"",EOMONTH($A71,1)&gt;Inputs!$B$31)),"",EOMONTH($A71,1))</f>
        <v>#VALUE!</v>
      </c>
      <c r="B72" s="5"/>
      <c r="C72" s="4"/>
      <c r="D72" s="5"/>
      <c r="E72" s="8" t="e">
        <f>IF($A72="","",MAX(0,(1-(IF($D72="",Inputs!$B$21,$D72)))*IF($A72&lt;=DATE(2026,7,31),9,IF($A72&lt;=DATE(2027,7,31),7.5,6))))</f>
        <v>#VALUE!</v>
      </c>
      <c r="F72" s="4" t="e">
        <f>IF($A72="","",(IF($C72="",Inputs!$B$22,$C72))*$E72)</f>
        <v>#VALUE!</v>
      </c>
      <c r="G72" s="4" t="e">
        <f>IF($A72="","",Inputs!$B$4+IF(AND(Inputs!$B$6&lt;&gt;"",$A72&gt;=EOMONTH(Inputs!$B$6,0)),Inputs!$B$5,0))</f>
        <v>#VALUE!</v>
      </c>
      <c r="H72" s="4" t="e">
        <f t="shared" si="29"/>
        <v>#VALUE!</v>
      </c>
      <c r="I72" s="4"/>
      <c r="J72" s="4"/>
      <c r="K72" s="4" t="e">
        <f t="shared" si="21"/>
        <v>#VALUE!</v>
      </c>
      <c r="L72" s="5" t="e">
        <f>IF($A72="","",MAX(Inputs!$B$14,(IF($B72="",Inputs!$B$20,$B72)+Inputs!$B$12)))</f>
        <v>#VALUE!</v>
      </c>
      <c r="M72" s="4" t="e">
        <f t="shared" si="22"/>
        <v>#VALUE!</v>
      </c>
      <c r="N72" s="4" t="e">
        <f t="shared" si="23"/>
        <v>#VALUE!</v>
      </c>
      <c r="O72" s="4" t="e">
        <f>IF($A72="","",$N72*Inputs!$B$15/12)</f>
        <v>#VALUE!</v>
      </c>
      <c r="P72" s="4" t="e">
        <f>IF($A72="","",SUM(IF($A72=EOMONTH(Inputs!$B$3,0),Inputs!$B$4*Inputs!$B$16,0),IF(Inputs!$B$3="",0,IF($A72=EOMONTH(Inputs!$B$3,12),Inputs!$B$4*Inputs!$B$16,0)),IF(Inputs!$B$3="",0,IF($A72=EOMONTH(Inputs!$B$3,24),Inputs!$B$4*Inputs!$B$16,0))))</f>
        <v>#VALUE!</v>
      </c>
      <c r="Q72" s="4" t="e">
        <f>IF($A72="","",IF(AND(Inputs!$B$18&lt;&gt;"",$A72=EOMONTH(Inputs!$B$18,0),Inputs!$B$18&lt;=Inputs!$B$23),Inputs!$B$4*Inputs!$B$17,0))</f>
        <v>#VALUE!</v>
      </c>
      <c r="R72" s="4" t="e">
        <f t="shared" si="30"/>
        <v>#VALUE!</v>
      </c>
      <c r="S72" s="4"/>
      <c r="T72" s="4" t="e">
        <f>IF($A72="","",IF(OR(Inputs!$B$27="",Inputs!$B$28=""),0,IF($A72&lt;Inputs!$B$27,0,IF($A72&gt;Inputs!$B$29,0,$R72/MAX(1,Inputs!$B$28-DATEDIF(Inputs!$B$27,$A72,"m"))))))</f>
        <v>#VALUE!</v>
      </c>
      <c r="U72" s="4"/>
      <c r="V72" s="4" t="e">
        <f t="shared" si="24"/>
        <v>#VALUE!</v>
      </c>
      <c r="W72" s="5" t="e">
        <f>IF($A72="","",MAX(Inputs!$B$14,(IF($B72="",Inputs!$B$20,$B72)+Inputs!$B$13)))</f>
        <v>#VALUE!</v>
      </c>
      <c r="X72" s="4" t="e">
        <f t="shared" si="25"/>
        <v>#VALUE!</v>
      </c>
      <c r="Y72" s="4" t="e">
        <f>IF($A72="","",IF(AND(IF($U72="",0,$U72)&gt;0,Inputs!$B$24&lt;&gt;"",$A72&lt;=EOMONTH(Inputs!$B$24,0)),IF($U72="",0,$U72)*Inputs!$B$19,0))</f>
        <v>#VALUE!</v>
      </c>
      <c r="Z72" s="4" t="e">
        <f t="shared" si="26"/>
        <v>#VALUE!</v>
      </c>
      <c r="AA72" s="4" t="e">
        <f t="shared" si="27"/>
        <v>#VALUE!</v>
      </c>
      <c r="AB72" s="4" t="e">
        <f t="shared" si="28"/>
        <v>#VALUE!</v>
      </c>
      <c r="AC72" s="4" t="e">
        <f>IF($A72="","",SUM($AB$2:$AB72))</f>
        <v>#VALUE!</v>
      </c>
    </row>
    <row r="73" spans="1:29" x14ac:dyDescent="0.45">
      <c r="A73" s="3" t="e">
        <f>IF(OR($A72="",AND(Inputs!$B$31&lt;&gt;"",EOMONTH($A72,1)&gt;Inputs!$B$31)),"",EOMONTH($A72,1))</f>
        <v>#VALUE!</v>
      </c>
      <c r="B73" s="5"/>
      <c r="C73" s="4"/>
      <c r="D73" s="5"/>
      <c r="E73" s="8" t="e">
        <f>IF($A73="","",MAX(0,(1-(IF($D73="",Inputs!$B$21,$D73)))*IF($A73&lt;=DATE(2026,7,31),9,IF($A73&lt;=DATE(2027,7,31),7.5,6))))</f>
        <v>#VALUE!</v>
      </c>
      <c r="F73" s="4" t="e">
        <f>IF($A73="","",(IF($C73="",Inputs!$B$22,$C73))*$E73)</f>
        <v>#VALUE!</v>
      </c>
      <c r="G73" s="4" t="e">
        <f>IF($A73="","",Inputs!$B$4+IF(AND(Inputs!$B$6&lt;&gt;"",$A73&gt;=EOMONTH(Inputs!$B$6,0)),Inputs!$B$5,0))</f>
        <v>#VALUE!</v>
      </c>
      <c r="H73" s="4" t="e">
        <f t="shared" si="29"/>
        <v>#VALUE!</v>
      </c>
      <c r="I73" s="4"/>
      <c r="J73" s="4"/>
      <c r="K73" s="4" t="e">
        <f t="shared" si="21"/>
        <v>#VALUE!</v>
      </c>
      <c r="L73" s="5" t="e">
        <f>IF($A73="","",MAX(Inputs!$B$14,(IF($B73="",Inputs!$B$20,$B73)+Inputs!$B$12)))</f>
        <v>#VALUE!</v>
      </c>
      <c r="M73" s="4" t="e">
        <f t="shared" si="22"/>
        <v>#VALUE!</v>
      </c>
      <c r="N73" s="4" t="e">
        <f t="shared" si="23"/>
        <v>#VALUE!</v>
      </c>
      <c r="O73" s="4" t="e">
        <f>IF($A73="","",$N73*Inputs!$B$15/12)</f>
        <v>#VALUE!</v>
      </c>
      <c r="P73" s="4" t="e">
        <f>IF($A73="","",SUM(IF($A73=EOMONTH(Inputs!$B$3,0),Inputs!$B$4*Inputs!$B$16,0),IF(Inputs!$B$3="",0,IF($A73=EOMONTH(Inputs!$B$3,12),Inputs!$B$4*Inputs!$B$16,0)),IF(Inputs!$B$3="",0,IF($A73=EOMONTH(Inputs!$B$3,24),Inputs!$B$4*Inputs!$B$16,0))))</f>
        <v>#VALUE!</v>
      </c>
      <c r="Q73" s="4" t="e">
        <f>IF($A73="","",IF(AND(Inputs!$B$18&lt;&gt;"",$A73=EOMONTH(Inputs!$B$18,0),Inputs!$B$18&lt;=Inputs!$B$23),Inputs!$B$4*Inputs!$B$17,0))</f>
        <v>#VALUE!</v>
      </c>
      <c r="R73" s="4" t="e">
        <f t="shared" si="30"/>
        <v>#VALUE!</v>
      </c>
      <c r="S73" s="4"/>
      <c r="T73" s="4" t="e">
        <f>IF($A73="","",IF(OR(Inputs!$B$27="",Inputs!$B$28=""),0,IF($A73&lt;Inputs!$B$27,0,IF($A73&gt;Inputs!$B$29,0,$R73/MAX(1,Inputs!$B$28-DATEDIF(Inputs!$B$27,$A73,"m"))))))</f>
        <v>#VALUE!</v>
      </c>
      <c r="U73" s="4"/>
      <c r="V73" s="4" t="e">
        <f t="shared" si="24"/>
        <v>#VALUE!</v>
      </c>
      <c r="W73" s="5" t="e">
        <f>IF($A73="","",MAX(Inputs!$B$14,(IF($B73="",Inputs!$B$20,$B73)+Inputs!$B$13)))</f>
        <v>#VALUE!</v>
      </c>
      <c r="X73" s="4" t="e">
        <f t="shared" si="25"/>
        <v>#VALUE!</v>
      </c>
      <c r="Y73" s="4" t="e">
        <f>IF($A73="","",IF(AND(IF($U73="",0,$U73)&gt;0,Inputs!$B$24&lt;&gt;"",$A73&lt;=EOMONTH(Inputs!$B$24,0)),IF($U73="",0,$U73)*Inputs!$B$19,0))</f>
        <v>#VALUE!</v>
      </c>
      <c r="Z73" s="4" t="e">
        <f t="shared" si="26"/>
        <v>#VALUE!</v>
      </c>
      <c r="AA73" s="4" t="e">
        <f t="shared" si="27"/>
        <v>#VALUE!</v>
      </c>
      <c r="AB73" s="4" t="e">
        <f t="shared" si="28"/>
        <v>#VALUE!</v>
      </c>
      <c r="AC73" s="4" t="e">
        <f>IF($A73="","",SUM($AB$2:$AB73))</f>
        <v>#VALUE!</v>
      </c>
    </row>
    <row r="74" spans="1:29" x14ac:dyDescent="0.45">
      <c r="A74" s="3" t="e">
        <f>IF(OR($A73="",AND(Inputs!$B$31&lt;&gt;"",EOMONTH($A73,1)&gt;Inputs!$B$31)),"",EOMONTH($A73,1))</f>
        <v>#VALUE!</v>
      </c>
      <c r="B74" s="5"/>
      <c r="C74" s="4"/>
      <c r="D74" s="5"/>
      <c r="E74" s="8" t="e">
        <f>IF($A74="","",MAX(0,(1-(IF($D74="",Inputs!$B$21,$D74)))*IF($A74&lt;=DATE(2026,7,31),9,IF($A74&lt;=DATE(2027,7,31),7.5,6))))</f>
        <v>#VALUE!</v>
      </c>
      <c r="F74" s="4" t="e">
        <f>IF($A74="","",(IF($C74="",Inputs!$B$22,$C74))*$E74)</f>
        <v>#VALUE!</v>
      </c>
      <c r="G74" s="4" t="e">
        <f>IF($A74="","",Inputs!$B$4+IF(AND(Inputs!$B$6&lt;&gt;"",$A74&gt;=EOMONTH(Inputs!$B$6,0)),Inputs!$B$5,0))</f>
        <v>#VALUE!</v>
      </c>
      <c r="H74" s="4" t="e">
        <f t="shared" si="29"/>
        <v>#VALUE!</v>
      </c>
      <c r="I74" s="4"/>
      <c r="J74" s="4"/>
      <c r="K74" s="4" t="e">
        <f t="shared" si="21"/>
        <v>#VALUE!</v>
      </c>
      <c r="L74" s="5" t="e">
        <f>IF($A74="","",MAX(Inputs!$B$14,(IF($B74="",Inputs!$B$20,$B74)+Inputs!$B$12)))</f>
        <v>#VALUE!</v>
      </c>
      <c r="M74" s="4" t="e">
        <f t="shared" si="22"/>
        <v>#VALUE!</v>
      </c>
      <c r="N74" s="4" t="e">
        <f t="shared" si="23"/>
        <v>#VALUE!</v>
      </c>
      <c r="O74" s="4" t="e">
        <f>IF($A74="","",$N74*Inputs!$B$15/12)</f>
        <v>#VALUE!</v>
      </c>
      <c r="P74" s="4" t="e">
        <f>IF($A74="","",SUM(IF($A74=EOMONTH(Inputs!$B$3,0),Inputs!$B$4*Inputs!$B$16,0),IF(Inputs!$B$3="",0,IF($A74=EOMONTH(Inputs!$B$3,12),Inputs!$B$4*Inputs!$B$16,0)),IF(Inputs!$B$3="",0,IF($A74=EOMONTH(Inputs!$B$3,24),Inputs!$B$4*Inputs!$B$16,0))))</f>
        <v>#VALUE!</v>
      </c>
      <c r="Q74" s="4" t="e">
        <f>IF($A74="","",IF(AND(Inputs!$B$18&lt;&gt;"",$A74=EOMONTH(Inputs!$B$18,0),Inputs!$B$18&lt;=Inputs!$B$23),Inputs!$B$4*Inputs!$B$17,0))</f>
        <v>#VALUE!</v>
      </c>
      <c r="R74" s="4" t="e">
        <f t="shared" si="30"/>
        <v>#VALUE!</v>
      </c>
      <c r="S74" s="4"/>
      <c r="T74" s="4" t="e">
        <f>IF($A74="","",IF(OR(Inputs!$B$27="",Inputs!$B$28=""),0,IF($A74&lt;Inputs!$B$27,0,IF($A74&gt;Inputs!$B$29,0,$R74/MAX(1,Inputs!$B$28-DATEDIF(Inputs!$B$27,$A74,"m"))))))</f>
        <v>#VALUE!</v>
      </c>
      <c r="U74" s="4"/>
      <c r="V74" s="4" t="e">
        <f t="shared" si="24"/>
        <v>#VALUE!</v>
      </c>
      <c r="W74" s="5" t="e">
        <f>IF($A74="","",MAX(Inputs!$B$14,(IF($B74="",Inputs!$B$20,$B74)+Inputs!$B$13)))</f>
        <v>#VALUE!</v>
      </c>
      <c r="X74" s="4" t="e">
        <f t="shared" si="25"/>
        <v>#VALUE!</v>
      </c>
      <c r="Y74" s="4" t="e">
        <f>IF($A74="","",IF(AND(IF($U74="",0,$U74)&gt;0,Inputs!$B$24&lt;&gt;"",$A74&lt;=EOMONTH(Inputs!$B$24,0)),IF($U74="",0,$U74)*Inputs!$B$19,0))</f>
        <v>#VALUE!</v>
      </c>
      <c r="Z74" s="4" t="e">
        <f t="shared" si="26"/>
        <v>#VALUE!</v>
      </c>
      <c r="AA74" s="4" t="e">
        <f t="shared" si="27"/>
        <v>#VALUE!</v>
      </c>
      <c r="AB74" s="4" t="e">
        <f t="shared" si="28"/>
        <v>#VALUE!</v>
      </c>
      <c r="AC74" s="4" t="e">
        <f>IF($A74="","",SUM($AB$2:$AB74))</f>
        <v>#VALUE!</v>
      </c>
    </row>
    <row r="75" spans="1:29" x14ac:dyDescent="0.45">
      <c r="A75" s="3" t="e">
        <f>IF(OR($A74="",AND(Inputs!$B$31&lt;&gt;"",EOMONTH($A74,1)&gt;Inputs!$B$31)),"",EOMONTH($A74,1))</f>
        <v>#VALUE!</v>
      </c>
      <c r="B75" s="5"/>
      <c r="C75" s="4"/>
      <c r="D75" s="5"/>
      <c r="E75" s="8" t="e">
        <f>IF($A75="","",MAX(0,(1-(IF($D75="",Inputs!$B$21,$D75)))*IF($A75&lt;=DATE(2026,7,31),9,IF($A75&lt;=DATE(2027,7,31),7.5,6))))</f>
        <v>#VALUE!</v>
      </c>
      <c r="F75" s="4" t="e">
        <f>IF($A75="","",(IF($C75="",Inputs!$B$22,$C75))*$E75)</f>
        <v>#VALUE!</v>
      </c>
      <c r="G75" s="4" t="e">
        <f>IF($A75="","",Inputs!$B$4+IF(AND(Inputs!$B$6&lt;&gt;"",$A75&gt;=EOMONTH(Inputs!$B$6,0)),Inputs!$B$5,0))</f>
        <v>#VALUE!</v>
      </c>
      <c r="H75" s="4" t="e">
        <f t="shared" si="29"/>
        <v>#VALUE!</v>
      </c>
      <c r="I75" s="4"/>
      <c r="J75" s="4"/>
      <c r="K75" s="4" t="e">
        <f t="shared" si="21"/>
        <v>#VALUE!</v>
      </c>
      <c r="L75" s="5" t="e">
        <f>IF($A75="","",MAX(Inputs!$B$14,(IF($B75="",Inputs!$B$20,$B75)+Inputs!$B$12)))</f>
        <v>#VALUE!</v>
      </c>
      <c r="M75" s="4" t="e">
        <f t="shared" si="22"/>
        <v>#VALUE!</v>
      </c>
      <c r="N75" s="4" t="e">
        <f t="shared" si="23"/>
        <v>#VALUE!</v>
      </c>
      <c r="O75" s="4" t="e">
        <f>IF($A75="","",$N75*Inputs!$B$15/12)</f>
        <v>#VALUE!</v>
      </c>
      <c r="P75" s="4" t="e">
        <f>IF($A75="","",SUM(IF($A75=EOMONTH(Inputs!$B$3,0),Inputs!$B$4*Inputs!$B$16,0),IF(Inputs!$B$3="",0,IF($A75=EOMONTH(Inputs!$B$3,12),Inputs!$B$4*Inputs!$B$16,0)),IF(Inputs!$B$3="",0,IF($A75=EOMONTH(Inputs!$B$3,24),Inputs!$B$4*Inputs!$B$16,0))))</f>
        <v>#VALUE!</v>
      </c>
      <c r="Q75" s="4" t="e">
        <f>IF($A75="","",IF(AND(Inputs!$B$18&lt;&gt;"",$A75=EOMONTH(Inputs!$B$18,0),Inputs!$B$18&lt;=Inputs!$B$23),Inputs!$B$4*Inputs!$B$17,0))</f>
        <v>#VALUE!</v>
      </c>
      <c r="R75" s="4" t="e">
        <f t="shared" si="30"/>
        <v>#VALUE!</v>
      </c>
      <c r="S75" s="4"/>
      <c r="T75" s="4" t="e">
        <f>IF($A75="","",IF(OR(Inputs!$B$27="",Inputs!$B$28=""),0,IF($A75&lt;Inputs!$B$27,0,IF($A75&gt;Inputs!$B$29,0,$R75/MAX(1,Inputs!$B$28-DATEDIF(Inputs!$B$27,$A75,"m"))))))</f>
        <v>#VALUE!</v>
      </c>
      <c r="U75" s="4"/>
      <c r="V75" s="4" t="e">
        <f t="shared" si="24"/>
        <v>#VALUE!</v>
      </c>
      <c r="W75" s="5" t="e">
        <f>IF($A75="","",MAX(Inputs!$B$14,(IF($B75="",Inputs!$B$20,$B75)+Inputs!$B$13)))</f>
        <v>#VALUE!</v>
      </c>
      <c r="X75" s="4" t="e">
        <f t="shared" si="25"/>
        <v>#VALUE!</v>
      </c>
      <c r="Y75" s="4" t="e">
        <f>IF($A75="","",IF(AND(IF($U75="",0,$U75)&gt;0,Inputs!$B$24&lt;&gt;"",$A75&lt;=EOMONTH(Inputs!$B$24,0)),IF($U75="",0,$U75)*Inputs!$B$19,0))</f>
        <v>#VALUE!</v>
      </c>
      <c r="Z75" s="4" t="e">
        <f t="shared" si="26"/>
        <v>#VALUE!</v>
      </c>
      <c r="AA75" s="4" t="e">
        <f t="shared" si="27"/>
        <v>#VALUE!</v>
      </c>
      <c r="AB75" s="4" t="e">
        <f t="shared" si="28"/>
        <v>#VALUE!</v>
      </c>
      <c r="AC75" s="4" t="e">
        <f>IF($A75="","",SUM($AB$2:$AB75))</f>
        <v>#VALUE!</v>
      </c>
    </row>
    <row r="76" spans="1:29" x14ac:dyDescent="0.45">
      <c r="A76" s="3" t="e">
        <f>IF(OR($A75="",AND(Inputs!$B$31&lt;&gt;"",EOMONTH($A75,1)&gt;Inputs!$B$31)),"",EOMONTH($A75,1))</f>
        <v>#VALUE!</v>
      </c>
      <c r="B76" s="5"/>
      <c r="C76" s="4"/>
      <c r="D76" s="5"/>
      <c r="E76" s="8" t="e">
        <f>IF($A76="","",MAX(0,(1-(IF($D76="",Inputs!$B$21,$D76)))*IF($A76&lt;=DATE(2026,7,31),9,IF($A76&lt;=DATE(2027,7,31),7.5,6))))</f>
        <v>#VALUE!</v>
      </c>
      <c r="F76" s="4" t="e">
        <f>IF($A76="","",(IF($C76="",Inputs!$B$22,$C76))*$E76)</f>
        <v>#VALUE!</v>
      </c>
      <c r="G76" s="4" t="e">
        <f>IF($A76="","",Inputs!$B$4+IF(AND(Inputs!$B$6&lt;&gt;"",$A76&gt;=EOMONTH(Inputs!$B$6,0)),Inputs!$B$5,0))</f>
        <v>#VALUE!</v>
      </c>
      <c r="H76" s="4" t="e">
        <f t="shared" si="29"/>
        <v>#VALUE!</v>
      </c>
      <c r="I76" s="4"/>
      <c r="J76" s="4"/>
      <c r="K76" s="4" t="e">
        <f t="shared" si="21"/>
        <v>#VALUE!</v>
      </c>
      <c r="L76" s="5" t="e">
        <f>IF($A76="","",MAX(Inputs!$B$14,(IF($B76="",Inputs!$B$20,$B76)+Inputs!$B$12)))</f>
        <v>#VALUE!</v>
      </c>
      <c r="M76" s="4" t="e">
        <f t="shared" si="22"/>
        <v>#VALUE!</v>
      </c>
      <c r="N76" s="4" t="e">
        <f t="shared" si="23"/>
        <v>#VALUE!</v>
      </c>
      <c r="O76" s="4" t="e">
        <f>IF($A76="","",$N76*Inputs!$B$15/12)</f>
        <v>#VALUE!</v>
      </c>
      <c r="P76" s="4" t="e">
        <f>IF($A76="","",SUM(IF($A76=EOMONTH(Inputs!$B$3,0),Inputs!$B$4*Inputs!$B$16,0),IF(Inputs!$B$3="",0,IF($A76=EOMONTH(Inputs!$B$3,12),Inputs!$B$4*Inputs!$B$16,0)),IF(Inputs!$B$3="",0,IF($A76=EOMONTH(Inputs!$B$3,24),Inputs!$B$4*Inputs!$B$16,0))))</f>
        <v>#VALUE!</v>
      </c>
      <c r="Q76" s="4" t="e">
        <f>IF($A76="","",IF(AND(Inputs!$B$18&lt;&gt;"",$A76=EOMONTH(Inputs!$B$18,0),Inputs!$B$18&lt;=Inputs!$B$23),Inputs!$B$4*Inputs!$B$17,0))</f>
        <v>#VALUE!</v>
      </c>
      <c r="R76" s="4" t="e">
        <f t="shared" si="30"/>
        <v>#VALUE!</v>
      </c>
      <c r="S76" s="4"/>
      <c r="T76" s="4" t="e">
        <f>IF($A76="","",IF(OR(Inputs!$B$27="",Inputs!$B$28=""),0,IF($A76&lt;Inputs!$B$27,0,IF($A76&gt;Inputs!$B$29,0,$R76/MAX(1,Inputs!$B$28-DATEDIF(Inputs!$B$27,$A76,"m"))))))</f>
        <v>#VALUE!</v>
      </c>
      <c r="U76" s="4"/>
      <c r="V76" s="4" t="e">
        <f t="shared" si="24"/>
        <v>#VALUE!</v>
      </c>
      <c r="W76" s="5" t="e">
        <f>IF($A76="","",MAX(Inputs!$B$14,(IF($B76="",Inputs!$B$20,$B76)+Inputs!$B$13)))</f>
        <v>#VALUE!</v>
      </c>
      <c r="X76" s="4" t="e">
        <f t="shared" si="25"/>
        <v>#VALUE!</v>
      </c>
      <c r="Y76" s="4" t="e">
        <f>IF($A76="","",IF(AND(IF($U76="",0,$U76)&gt;0,Inputs!$B$24&lt;&gt;"",$A76&lt;=EOMONTH(Inputs!$B$24,0)),IF($U76="",0,$U76)*Inputs!$B$19,0))</f>
        <v>#VALUE!</v>
      </c>
      <c r="Z76" s="4" t="e">
        <f t="shared" si="26"/>
        <v>#VALUE!</v>
      </c>
      <c r="AA76" s="4" t="e">
        <f t="shared" si="27"/>
        <v>#VALUE!</v>
      </c>
      <c r="AB76" s="4" t="e">
        <f t="shared" si="28"/>
        <v>#VALUE!</v>
      </c>
      <c r="AC76" s="4" t="e">
        <f>IF($A76="","",SUM($AB$2:$AB76))</f>
        <v>#VALUE!</v>
      </c>
    </row>
    <row r="77" spans="1:29" x14ac:dyDescent="0.45">
      <c r="A77" s="3" t="e">
        <f>IF(OR($A76="",AND(Inputs!$B$31&lt;&gt;"",EOMONTH($A76,1)&gt;Inputs!$B$31)),"",EOMONTH($A76,1))</f>
        <v>#VALUE!</v>
      </c>
      <c r="B77" s="5"/>
      <c r="C77" s="4"/>
      <c r="D77" s="5"/>
      <c r="E77" s="8" t="e">
        <f>IF($A77="","",MAX(0,(1-(IF($D77="",Inputs!$B$21,$D77)))*IF($A77&lt;=DATE(2026,7,31),9,IF($A77&lt;=DATE(2027,7,31),7.5,6))))</f>
        <v>#VALUE!</v>
      </c>
      <c r="F77" s="4" t="e">
        <f>IF($A77="","",(IF($C77="",Inputs!$B$22,$C77))*$E77)</f>
        <v>#VALUE!</v>
      </c>
      <c r="G77" s="4" t="e">
        <f>IF($A77="","",Inputs!$B$4+IF(AND(Inputs!$B$6&lt;&gt;"",$A77&gt;=EOMONTH(Inputs!$B$6,0)),Inputs!$B$5,0))</f>
        <v>#VALUE!</v>
      </c>
      <c r="H77" s="4" t="e">
        <f t="shared" si="29"/>
        <v>#VALUE!</v>
      </c>
      <c r="I77" s="4"/>
      <c r="J77" s="4"/>
      <c r="K77" s="4" t="e">
        <f t="shared" si="21"/>
        <v>#VALUE!</v>
      </c>
      <c r="L77" s="5" t="e">
        <f>IF($A77="","",MAX(Inputs!$B$14,(IF($B77="",Inputs!$B$20,$B77)+Inputs!$B$12)))</f>
        <v>#VALUE!</v>
      </c>
      <c r="M77" s="4" t="e">
        <f t="shared" si="22"/>
        <v>#VALUE!</v>
      </c>
      <c r="N77" s="4" t="e">
        <f t="shared" si="23"/>
        <v>#VALUE!</v>
      </c>
      <c r="O77" s="4" t="e">
        <f>IF($A77="","",$N77*Inputs!$B$15/12)</f>
        <v>#VALUE!</v>
      </c>
      <c r="P77" s="4" t="e">
        <f>IF($A77="","",SUM(IF($A77=EOMONTH(Inputs!$B$3,0),Inputs!$B$4*Inputs!$B$16,0),IF(Inputs!$B$3="",0,IF($A77=EOMONTH(Inputs!$B$3,12),Inputs!$B$4*Inputs!$B$16,0)),IF(Inputs!$B$3="",0,IF($A77=EOMONTH(Inputs!$B$3,24),Inputs!$B$4*Inputs!$B$16,0))))</f>
        <v>#VALUE!</v>
      </c>
      <c r="Q77" s="4" t="e">
        <f>IF($A77="","",IF(AND(Inputs!$B$18&lt;&gt;"",$A77=EOMONTH(Inputs!$B$18,0),Inputs!$B$18&lt;=Inputs!$B$23),Inputs!$B$4*Inputs!$B$17,0))</f>
        <v>#VALUE!</v>
      </c>
      <c r="R77" s="4" t="e">
        <f t="shared" si="30"/>
        <v>#VALUE!</v>
      </c>
      <c r="S77" s="4"/>
      <c r="T77" s="4" t="e">
        <f>IF($A77="","",IF(OR(Inputs!$B$27="",Inputs!$B$28=""),0,IF($A77&lt;Inputs!$B$27,0,IF($A77&gt;Inputs!$B$29,0,$R77/MAX(1,Inputs!$B$28-DATEDIF(Inputs!$B$27,$A77,"m"))))))</f>
        <v>#VALUE!</v>
      </c>
      <c r="U77" s="4"/>
      <c r="V77" s="4" t="e">
        <f t="shared" si="24"/>
        <v>#VALUE!</v>
      </c>
      <c r="W77" s="5" t="e">
        <f>IF($A77="","",MAX(Inputs!$B$14,(IF($B77="",Inputs!$B$20,$B77)+Inputs!$B$13)))</f>
        <v>#VALUE!</v>
      </c>
      <c r="X77" s="4" t="e">
        <f t="shared" si="25"/>
        <v>#VALUE!</v>
      </c>
      <c r="Y77" s="4" t="e">
        <f>IF($A77="","",IF(AND(IF($U77="",0,$U77)&gt;0,Inputs!$B$24&lt;&gt;"",$A77&lt;=EOMONTH(Inputs!$B$24,0)),IF($U77="",0,$U77)*Inputs!$B$19,0))</f>
        <v>#VALUE!</v>
      </c>
      <c r="Z77" s="4" t="e">
        <f t="shared" si="26"/>
        <v>#VALUE!</v>
      </c>
      <c r="AA77" s="4" t="e">
        <f t="shared" si="27"/>
        <v>#VALUE!</v>
      </c>
      <c r="AB77" s="4" t="e">
        <f t="shared" si="28"/>
        <v>#VALUE!</v>
      </c>
      <c r="AC77" s="4" t="e">
        <f>IF($A77="","",SUM($AB$2:$AB77))</f>
        <v>#VALUE!</v>
      </c>
    </row>
    <row r="78" spans="1:29" x14ac:dyDescent="0.45">
      <c r="A78" s="3" t="e">
        <f>IF(OR($A77="",AND(Inputs!$B$31&lt;&gt;"",EOMONTH($A77,1)&gt;Inputs!$B$31)),"",EOMONTH($A77,1))</f>
        <v>#VALUE!</v>
      </c>
      <c r="B78" s="5"/>
      <c r="C78" s="4"/>
      <c r="D78" s="5"/>
      <c r="E78" s="8" t="e">
        <f>IF($A78="","",MAX(0,(1-(IF($D78="",Inputs!$B$21,$D78)))*IF($A78&lt;=DATE(2026,7,31),9,IF($A78&lt;=DATE(2027,7,31),7.5,6))))</f>
        <v>#VALUE!</v>
      </c>
      <c r="F78" s="4" t="e">
        <f>IF($A78="","",(IF($C78="",Inputs!$B$22,$C78))*$E78)</f>
        <v>#VALUE!</v>
      </c>
      <c r="G78" s="4" t="e">
        <f>IF($A78="","",Inputs!$B$4+IF(AND(Inputs!$B$6&lt;&gt;"",$A78&gt;=EOMONTH(Inputs!$B$6,0)),Inputs!$B$5,0))</f>
        <v>#VALUE!</v>
      </c>
      <c r="H78" s="4" t="e">
        <f t="shared" si="29"/>
        <v>#VALUE!</v>
      </c>
      <c r="I78" s="4"/>
      <c r="J78" s="4"/>
      <c r="K78" s="4" t="e">
        <f t="shared" si="21"/>
        <v>#VALUE!</v>
      </c>
      <c r="L78" s="5" t="e">
        <f>IF($A78="","",MAX(Inputs!$B$14,(IF($B78="",Inputs!$B$20,$B78)+Inputs!$B$12)))</f>
        <v>#VALUE!</v>
      </c>
      <c r="M78" s="4" t="e">
        <f t="shared" si="22"/>
        <v>#VALUE!</v>
      </c>
      <c r="N78" s="4" t="e">
        <f t="shared" si="23"/>
        <v>#VALUE!</v>
      </c>
      <c r="O78" s="4" t="e">
        <f>IF($A78="","",$N78*Inputs!$B$15/12)</f>
        <v>#VALUE!</v>
      </c>
      <c r="P78" s="4" t="e">
        <f>IF($A78="","",SUM(IF($A78=EOMONTH(Inputs!$B$3,0),Inputs!$B$4*Inputs!$B$16,0),IF(Inputs!$B$3="",0,IF($A78=EOMONTH(Inputs!$B$3,12),Inputs!$B$4*Inputs!$B$16,0)),IF(Inputs!$B$3="",0,IF($A78=EOMONTH(Inputs!$B$3,24),Inputs!$B$4*Inputs!$B$16,0))))</f>
        <v>#VALUE!</v>
      </c>
      <c r="Q78" s="4" t="e">
        <f>IF($A78="","",IF(AND(Inputs!$B$18&lt;&gt;"",$A78=EOMONTH(Inputs!$B$18,0),Inputs!$B$18&lt;=Inputs!$B$23),Inputs!$B$4*Inputs!$B$17,0))</f>
        <v>#VALUE!</v>
      </c>
      <c r="R78" s="4" t="e">
        <f t="shared" si="30"/>
        <v>#VALUE!</v>
      </c>
      <c r="S78" s="4"/>
      <c r="T78" s="4" t="e">
        <f>IF($A78="","",IF(OR(Inputs!$B$27="",Inputs!$B$28=""),0,IF($A78&lt;Inputs!$B$27,0,IF($A78&gt;Inputs!$B$29,0,$R78/MAX(1,Inputs!$B$28-DATEDIF(Inputs!$B$27,$A78,"m"))))))</f>
        <v>#VALUE!</v>
      </c>
      <c r="U78" s="4"/>
      <c r="V78" s="4" t="e">
        <f t="shared" si="24"/>
        <v>#VALUE!</v>
      </c>
      <c r="W78" s="5" t="e">
        <f>IF($A78="","",MAX(Inputs!$B$14,(IF($B78="",Inputs!$B$20,$B78)+Inputs!$B$13)))</f>
        <v>#VALUE!</v>
      </c>
      <c r="X78" s="4" t="e">
        <f t="shared" si="25"/>
        <v>#VALUE!</v>
      </c>
      <c r="Y78" s="4" t="e">
        <f>IF($A78="","",IF(AND(IF($U78="",0,$U78)&gt;0,Inputs!$B$24&lt;&gt;"",$A78&lt;=EOMONTH(Inputs!$B$24,0)),IF($U78="",0,$U78)*Inputs!$B$19,0))</f>
        <v>#VALUE!</v>
      </c>
      <c r="Z78" s="4" t="e">
        <f t="shared" si="26"/>
        <v>#VALUE!</v>
      </c>
      <c r="AA78" s="4" t="e">
        <f t="shared" si="27"/>
        <v>#VALUE!</v>
      </c>
      <c r="AB78" s="4" t="e">
        <f t="shared" si="28"/>
        <v>#VALUE!</v>
      </c>
      <c r="AC78" s="4" t="e">
        <f>IF($A78="","",SUM($AB$2:$AB78))</f>
        <v>#VALUE!</v>
      </c>
    </row>
    <row r="79" spans="1:29" x14ac:dyDescent="0.45">
      <c r="A79" s="3" t="e">
        <f>IF(OR($A78="",AND(Inputs!$B$31&lt;&gt;"",EOMONTH($A78,1)&gt;Inputs!$B$31)),"",EOMONTH($A78,1))</f>
        <v>#VALUE!</v>
      </c>
      <c r="B79" s="5"/>
      <c r="C79" s="4"/>
      <c r="D79" s="5"/>
      <c r="E79" s="8" t="e">
        <f>IF($A79="","",MAX(0,(1-(IF($D79="",Inputs!$B$21,$D79)))*IF($A79&lt;=DATE(2026,7,31),9,IF($A79&lt;=DATE(2027,7,31),7.5,6))))</f>
        <v>#VALUE!</v>
      </c>
      <c r="F79" s="4" t="e">
        <f>IF($A79="","",(IF($C79="",Inputs!$B$22,$C79))*$E79)</f>
        <v>#VALUE!</v>
      </c>
      <c r="G79" s="4" t="e">
        <f>IF($A79="","",Inputs!$B$4+IF(AND(Inputs!$B$6&lt;&gt;"",$A79&gt;=EOMONTH(Inputs!$B$6,0)),Inputs!$B$5,0))</f>
        <v>#VALUE!</v>
      </c>
      <c r="H79" s="4" t="e">
        <f t="shared" si="29"/>
        <v>#VALUE!</v>
      </c>
      <c r="I79" s="4"/>
      <c r="J79" s="4"/>
      <c r="K79" s="4" t="e">
        <f t="shared" si="21"/>
        <v>#VALUE!</v>
      </c>
      <c r="L79" s="5" t="e">
        <f>IF($A79="","",MAX(Inputs!$B$14,(IF($B79="",Inputs!$B$20,$B79)+Inputs!$B$12)))</f>
        <v>#VALUE!</v>
      </c>
      <c r="M79" s="4" t="e">
        <f t="shared" si="22"/>
        <v>#VALUE!</v>
      </c>
      <c r="N79" s="4" t="e">
        <f t="shared" si="23"/>
        <v>#VALUE!</v>
      </c>
      <c r="O79" s="4" t="e">
        <f>IF($A79="","",$N79*Inputs!$B$15/12)</f>
        <v>#VALUE!</v>
      </c>
      <c r="P79" s="4" t="e">
        <f>IF($A79="","",SUM(IF($A79=EOMONTH(Inputs!$B$3,0),Inputs!$B$4*Inputs!$B$16,0),IF(Inputs!$B$3="",0,IF($A79=EOMONTH(Inputs!$B$3,12),Inputs!$B$4*Inputs!$B$16,0)),IF(Inputs!$B$3="",0,IF($A79=EOMONTH(Inputs!$B$3,24),Inputs!$B$4*Inputs!$B$16,0))))</f>
        <v>#VALUE!</v>
      </c>
      <c r="Q79" s="4" t="e">
        <f>IF($A79="","",IF(AND(Inputs!$B$18&lt;&gt;"",$A79=EOMONTH(Inputs!$B$18,0),Inputs!$B$18&lt;=Inputs!$B$23),Inputs!$B$4*Inputs!$B$17,0))</f>
        <v>#VALUE!</v>
      </c>
      <c r="R79" s="4" t="e">
        <f t="shared" si="30"/>
        <v>#VALUE!</v>
      </c>
      <c r="S79" s="4"/>
      <c r="T79" s="4" t="e">
        <f>IF($A79="","",IF(OR(Inputs!$B$27="",Inputs!$B$28=""),0,IF($A79&lt;Inputs!$B$27,0,IF($A79&gt;Inputs!$B$29,0,$R79/MAX(1,Inputs!$B$28-DATEDIF(Inputs!$B$27,$A79,"m"))))))</f>
        <v>#VALUE!</v>
      </c>
      <c r="U79" s="4"/>
      <c r="V79" s="4" t="e">
        <f t="shared" si="24"/>
        <v>#VALUE!</v>
      </c>
      <c r="W79" s="5" t="e">
        <f>IF($A79="","",MAX(Inputs!$B$14,(IF($B79="",Inputs!$B$20,$B79)+Inputs!$B$13)))</f>
        <v>#VALUE!</v>
      </c>
      <c r="X79" s="4" t="e">
        <f t="shared" si="25"/>
        <v>#VALUE!</v>
      </c>
      <c r="Y79" s="4" t="e">
        <f>IF($A79="","",IF(AND(IF($U79="",0,$U79)&gt;0,Inputs!$B$24&lt;&gt;"",$A79&lt;=EOMONTH(Inputs!$B$24,0)),IF($U79="",0,$U79)*Inputs!$B$19,0))</f>
        <v>#VALUE!</v>
      </c>
      <c r="Z79" s="4" t="e">
        <f t="shared" si="26"/>
        <v>#VALUE!</v>
      </c>
      <c r="AA79" s="4" t="e">
        <f t="shared" si="27"/>
        <v>#VALUE!</v>
      </c>
      <c r="AB79" s="4" t="e">
        <f t="shared" si="28"/>
        <v>#VALUE!</v>
      </c>
      <c r="AC79" s="4" t="e">
        <f>IF($A79="","",SUM($AB$2:$AB79))</f>
        <v>#VALUE!</v>
      </c>
    </row>
    <row r="80" spans="1:29" x14ac:dyDescent="0.45">
      <c r="A80" s="3" t="e">
        <f>IF(OR($A79="",AND(Inputs!$B$31&lt;&gt;"",EOMONTH($A79,1)&gt;Inputs!$B$31)),"",EOMONTH($A79,1))</f>
        <v>#VALUE!</v>
      </c>
      <c r="B80" s="5"/>
      <c r="C80" s="4"/>
      <c r="D80" s="5"/>
      <c r="E80" s="8" t="e">
        <f>IF($A80="","",MAX(0,(1-(IF($D80="",Inputs!$B$21,$D80)))*IF($A80&lt;=DATE(2026,7,31),9,IF($A80&lt;=DATE(2027,7,31),7.5,6))))</f>
        <v>#VALUE!</v>
      </c>
      <c r="F80" s="4" t="e">
        <f>IF($A80="","",(IF($C80="",Inputs!$B$22,$C80))*$E80)</f>
        <v>#VALUE!</v>
      </c>
      <c r="G80" s="4" t="e">
        <f>IF($A80="","",Inputs!$B$4+IF(AND(Inputs!$B$6&lt;&gt;"",$A80&gt;=EOMONTH(Inputs!$B$6,0)),Inputs!$B$5,0))</f>
        <v>#VALUE!</v>
      </c>
      <c r="H80" s="4" t="e">
        <f t="shared" si="29"/>
        <v>#VALUE!</v>
      </c>
      <c r="I80" s="4"/>
      <c r="J80" s="4"/>
      <c r="K80" s="4" t="e">
        <f t="shared" si="21"/>
        <v>#VALUE!</v>
      </c>
      <c r="L80" s="5" t="e">
        <f>IF($A80="","",MAX(Inputs!$B$14,(IF($B80="",Inputs!$B$20,$B80)+Inputs!$B$12)))</f>
        <v>#VALUE!</v>
      </c>
      <c r="M80" s="4" t="e">
        <f t="shared" si="22"/>
        <v>#VALUE!</v>
      </c>
      <c r="N80" s="4" t="e">
        <f t="shared" si="23"/>
        <v>#VALUE!</v>
      </c>
      <c r="O80" s="4" t="e">
        <f>IF($A80="","",$N80*Inputs!$B$15/12)</f>
        <v>#VALUE!</v>
      </c>
      <c r="P80" s="4" t="e">
        <f>IF($A80="","",SUM(IF($A80=EOMONTH(Inputs!$B$3,0),Inputs!$B$4*Inputs!$B$16,0),IF(Inputs!$B$3="",0,IF($A80=EOMONTH(Inputs!$B$3,12),Inputs!$B$4*Inputs!$B$16,0)),IF(Inputs!$B$3="",0,IF($A80=EOMONTH(Inputs!$B$3,24),Inputs!$B$4*Inputs!$B$16,0))))</f>
        <v>#VALUE!</v>
      </c>
      <c r="Q80" s="4" t="e">
        <f>IF($A80="","",IF(AND(Inputs!$B$18&lt;&gt;"",$A80=EOMONTH(Inputs!$B$18,0),Inputs!$B$18&lt;=Inputs!$B$23),Inputs!$B$4*Inputs!$B$17,0))</f>
        <v>#VALUE!</v>
      </c>
      <c r="R80" s="4" t="e">
        <f t="shared" si="30"/>
        <v>#VALUE!</v>
      </c>
      <c r="S80" s="4"/>
      <c r="T80" s="4" t="e">
        <f>IF($A80="","",IF(OR(Inputs!$B$27="",Inputs!$B$28=""),0,IF($A80&lt;Inputs!$B$27,0,IF($A80&gt;Inputs!$B$29,0,$R80/MAX(1,Inputs!$B$28-DATEDIF(Inputs!$B$27,$A80,"m"))))))</f>
        <v>#VALUE!</v>
      </c>
      <c r="U80" s="4"/>
      <c r="V80" s="4" t="e">
        <f t="shared" si="24"/>
        <v>#VALUE!</v>
      </c>
      <c r="W80" s="5" t="e">
        <f>IF($A80="","",MAX(Inputs!$B$14,(IF($B80="",Inputs!$B$20,$B80)+Inputs!$B$13)))</f>
        <v>#VALUE!</v>
      </c>
      <c r="X80" s="4" t="e">
        <f t="shared" si="25"/>
        <v>#VALUE!</v>
      </c>
      <c r="Y80" s="4" t="e">
        <f>IF($A80="","",IF(AND(IF($U80="",0,$U80)&gt;0,Inputs!$B$24&lt;&gt;"",$A80&lt;=EOMONTH(Inputs!$B$24,0)),IF($U80="",0,$U80)*Inputs!$B$19,0))</f>
        <v>#VALUE!</v>
      </c>
      <c r="Z80" s="4" t="e">
        <f t="shared" si="26"/>
        <v>#VALUE!</v>
      </c>
      <c r="AA80" s="4" t="e">
        <f t="shared" si="27"/>
        <v>#VALUE!</v>
      </c>
      <c r="AB80" s="4" t="e">
        <f t="shared" si="28"/>
        <v>#VALUE!</v>
      </c>
      <c r="AC80" s="4" t="e">
        <f>IF($A80="","",SUM($AB$2:$AB80))</f>
        <v>#VALUE!</v>
      </c>
    </row>
    <row r="81" spans="1:29" x14ac:dyDescent="0.45">
      <c r="A81" s="3" t="e">
        <f>IF(OR($A80="",AND(Inputs!$B$31&lt;&gt;"",EOMONTH($A80,1)&gt;Inputs!$B$31)),"",EOMONTH($A80,1))</f>
        <v>#VALUE!</v>
      </c>
      <c r="B81" s="5"/>
      <c r="C81" s="4"/>
      <c r="D81" s="5"/>
      <c r="E81" s="8" t="e">
        <f>IF($A81="","",MAX(0,(1-(IF($D81="",Inputs!$B$21,$D81)))*IF($A81&lt;=DATE(2026,7,31),9,IF($A81&lt;=DATE(2027,7,31),7.5,6))))</f>
        <v>#VALUE!</v>
      </c>
      <c r="F81" s="4" t="e">
        <f>IF($A81="","",(IF($C81="",Inputs!$B$22,$C81))*$E81)</f>
        <v>#VALUE!</v>
      </c>
      <c r="G81" s="4" t="e">
        <f>IF($A81="","",Inputs!$B$4+IF(AND(Inputs!$B$6&lt;&gt;"",$A81&gt;=EOMONTH(Inputs!$B$6,0)),Inputs!$B$5,0))</f>
        <v>#VALUE!</v>
      </c>
      <c r="H81" s="4" t="e">
        <f t="shared" si="29"/>
        <v>#VALUE!</v>
      </c>
      <c r="I81" s="4"/>
      <c r="J81" s="4"/>
      <c r="K81" s="4" t="e">
        <f t="shared" si="21"/>
        <v>#VALUE!</v>
      </c>
      <c r="L81" s="5" t="e">
        <f>IF($A81="","",MAX(Inputs!$B$14,(IF($B81="",Inputs!$B$20,$B81)+Inputs!$B$12)))</f>
        <v>#VALUE!</v>
      </c>
      <c r="M81" s="4" t="e">
        <f t="shared" si="22"/>
        <v>#VALUE!</v>
      </c>
      <c r="N81" s="4" t="e">
        <f t="shared" si="23"/>
        <v>#VALUE!</v>
      </c>
      <c r="O81" s="4" t="e">
        <f>IF($A81="","",$N81*Inputs!$B$15/12)</f>
        <v>#VALUE!</v>
      </c>
      <c r="P81" s="4" t="e">
        <f>IF($A81="","",SUM(IF($A81=EOMONTH(Inputs!$B$3,0),Inputs!$B$4*Inputs!$B$16,0),IF(Inputs!$B$3="",0,IF($A81=EOMONTH(Inputs!$B$3,12),Inputs!$B$4*Inputs!$B$16,0)),IF(Inputs!$B$3="",0,IF($A81=EOMONTH(Inputs!$B$3,24),Inputs!$B$4*Inputs!$B$16,0))))</f>
        <v>#VALUE!</v>
      </c>
      <c r="Q81" s="4" t="e">
        <f>IF($A81="","",IF(AND(Inputs!$B$18&lt;&gt;"",$A81=EOMONTH(Inputs!$B$18,0),Inputs!$B$18&lt;=Inputs!$B$23),Inputs!$B$4*Inputs!$B$17,0))</f>
        <v>#VALUE!</v>
      </c>
      <c r="R81" s="4" t="e">
        <f t="shared" si="30"/>
        <v>#VALUE!</v>
      </c>
      <c r="S81" s="4"/>
      <c r="T81" s="4" t="e">
        <f>IF($A81="","",IF(OR(Inputs!$B$27="",Inputs!$B$28=""),0,IF($A81&lt;Inputs!$B$27,0,IF($A81&gt;Inputs!$B$29,0,$R81/MAX(1,Inputs!$B$28-DATEDIF(Inputs!$B$27,$A81,"m"))))))</f>
        <v>#VALUE!</v>
      </c>
      <c r="U81" s="4"/>
      <c r="V81" s="4" t="e">
        <f t="shared" si="24"/>
        <v>#VALUE!</v>
      </c>
      <c r="W81" s="5" t="e">
        <f>IF($A81="","",MAX(Inputs!$B$14,(IF($B81="",Inputs!$B$20,$B81)+Inputs!$B$13)))</f>
        <v>#VALUE!</v>
      </c>
      <c r="X81" s="4" t="e">
        <f t="shared" si="25"/>
        <v>#VALUE!</v>
      </c>
      <c r="Y81" s="4" t="e">
        <f>IF($A81="","",IF(AND(IF($U81="",0,$U81)&gt;0,Inputs!$B$24&lt;&gt;"",$A81&lt;=EOMONTH(Inputs!$B$24,0)),IF($U81="",0,$U81)*Inputs!$B$19,0))</f>
        <v>#VALUE!</v>
      </c>
      <c r="Z81" s="4" t="e">
        <f t="shared" si="26"/>
        <v>#VALUE!</v>
      </c>
      <c r="AA81" s="4" t="e">
        <f t="shared" si="27"/>
        <v>#VALUE!</v>
      </c>
      <c r="AB81" s="4" t="e">
        <f t="shared" si="28"/>
        <v>#VALUE!</v>
      </c>
      <c r="AC81" s="4" t="e">
        <f>IF($A81="","",SUM($AB$2:$AB81))</f>
        <v>#VALUE!</v>
      </c>
    </row>
    <row r="82" spans="1:29" x14ac:dyDescent="0.45">
      <c r="A82" s="3" t="e">
        <f>IF(OR($A81="",AND(Inputs!$B$31&lt;&gt;"",EOMONTH($A81,1)&gt;Inputs!$B$31)),"",EOMONTH($A81,1))</f>
        <v>#VALUE!</v>
      </c>
      <c r="B82" s="5"/>
      <c r="C82" s="4"/>
      <c r="D82" s="5"/>
      <c r="E82" s="8" t="e">
        <f>IF($A82="","",MAX(0,(1-(IF($D82="",Inputs!$B$21,$D82)))*IF($A82&lt;=DATE(2026,7,31),9,IF($A82&lt;=DATE(2027,7,31),7.5,6))))</f>
        <v>#VALUE!</v>
      </c>
      <c r="F82" s="4" t="e">
        <f>IF($A82="","",(IF($C82="",Inputs!$B$22,$C82))*$E82)</f>
        <v>#VALUE!</v>
      </c>
      <c r="G82" s="4" t="e">
        <f>IF($A82="","",Inputs!$B$4+IF(AND(Inputs!$B$6&lt;&gt;"",$A82&gt;=EOMONTH(Inputs!$B$6,0)),Inputs!$B$5,0))</f>
        <v>#VALUE!</v>
      </c>
      <c r="H82" s="4" t="e">
        <f t="shared" si="29"/>
        <v>#VALUE!</v>
      </c>
      <c r="I82" s="4"/>
      <c r="J82" s="4"/>
      <c r="K82" s="4" t="e">
        <f t="shared" si="21"/>
        <v>#VALUE!</v>
      </c>
      <c r="L82" s="5" t="e">
        <f>IF($A82="","",MAX(Inputs!$B$14,(IF($B82="",Inputs!$B$20,$B82)+Inputs!$B$12)))</f>
        <v>#VALUE!</v>
      </c>
      <c r="M82" s="4" t="e">
        <f t="shared" si="22"/>
        <v>#VALUE!</v>
      </c>
      <c r="N82" s="4" t="e">
        <f t="shared" si="23"/>
        <v>#VALUE!</v>
      </c>
      <c r="O82" s="4" t="e">
        <f>IF($A82="","",$N82*Inputs!$B$15/12)</f>
        <v>#VALUE!</v>
      </c>
      <c r="P82" s="4" t="e">
        <f>IF($A82="","",SUM(IF($A82=EOMONTH(Inputs!$B$3,0),Inputs!$B$4*Inputs!$B$16,0),IF(Inputs!$B$3="",0,IF($A82=EOMONTH(Inputs!$B$3,12),Inputs!$B$4*Inputs!$B$16,0)),IF(Inputs!$B$3="",0,IF($A82=EOMONTH(Inputs!$B$3,24),Inputs!$B$4*Inputs!$B$16,0))))</f>
        <v>#VALUE!</v>
      </c>
      <c r="Q82" s="4" t="e">
        <f>IF($A82="","",IF(AND(Inputs!$B$18&lt;&gt;"",$A82=EOMONTH(Inputs!$B$18,0),Inputs!$B$18&lt;=Inputs!$B$23),Inputs!$B$4*Inputs!$B$17,0))</f>
        <v>#VALUE!</v>
      </c>
      <c r="R82" s="4" t="e">
        <f t="shared" si="30"/>
        <v>#VALUE!</v>
      </c>
      <c r="S82" s="4"/>
      <c r="T82" s="4" t="e">
        <f>IF($A82="","",IF(OR(Inputs!$B$27="",Inputs!$B$28=""),0,IF($A82&lt;Inputs!$B$27,0,IF($A82&gt;Inputs!$B$29,0,$R82/MAX(1,Inputs!$B$28-DATEDIF(Inputs!$B$27,$A82,"m"))))))</f>
        <v>#VALUE!</v>
      </c>
      <c r="U82" s="4"/>
      <c r="V82" s="4" t="e">
        <f t="shared" si="24"/>
        <v>#VALUE!</v>
      </c>
      <c r="W82" s="5" t="e">
        <f>IF($A82="","",MAX(Inputs!$B$14,(IF($B82="",Inputs!$B$20,$B82)+Inputs!$B$13)))</f>
        <v>#VALUE!</v>
      </c>
      <c r="X82" s="4" t="e">
        <f t="shared" si="25"/>
        <v>#VALUE!</v>
      </c>
      <c r="Y82" s="4" t="e">
        <f>IF($A82="","",IF(AND(IF($U82="",0,$U82)&gt;0,Inputs!$B$24&lt;&gt;"",$A82&lt;=EOMONTH(Inputs!$B$24,0)),IF($U82="",0,$U82)*Inputs!$B$19,0))</f>
        <v>#VALUE!</v>
      </c>
      <c r="Z82" s="4" t="e">
        <f t="shared" si="26"/>
        <v>#VALUE!</v>
      </c>
      <c r="AA82" s="4" t="e">
        <f t="shared" si="27"/>
        <v>#VALUE!</v>
      </c>
      <c r="AB82" s="4" t="e">
        <f t="shared" si="28"/>
        <v>#VALUE!</v>
      </c>
      <c r="AC82" s="4" t="e">
        <f>IF($A82="","",SUM($AB$2:$AB82))</f>
        <v>#VALUE!</v>
      </c>
    </row>
    <row r="83" spans="1:29" x14ac:dyDescent="0.45">
      <c r="A83" s="3" t="e">
        <f>IF(OR($A82="",AND(Inputs!$B$31&lt;&gt;"",EOMONTH($A82,1)&gt;Inputs!$B$31)),"",EOMONTH($A82,1))</f>
        <v>#VALUE!</v>
      </c>
      <c r="B83" s="5"/>
      <c r="C83" s="4"/>
      <c r="D83" s="5"/>
      <c r="E83" s="8" t="e">
        <f>IF($A83="","",MAX(0,(1-(IF($D83="",Inputs!$B$21,$D83)))*IF($A83&lt;=DATE(2026,7,31),9,IF($A83&lt;=DATE(2027,7,31),7.5,6))))</f>
        <v>#VALUE!</v>
      </c>
      <c r="F83" s="4" t="e">
        <f>IF($A83="","",(IF($C83="",Inputs!$B$22,$C83))*$E83)</f>
        <v>#VALUE!</v>
      </c>
      <c r="G83" s="4" t="e">
        <f>IF($A83="","",Inputs!$B$4+IF(AND(Inputs!$B$6&lt;&gt;"",$A83&gt;=EOMONTH(Inputs!$B$6,0)),Inputs!$B$5,0))</f>
        <v>#VALUE!</v>
      </c>
      <c r="H83" s="4" t="e">
        <f t="shared" si="29"/>
        <v>#VALUE!</v>
      </c>
      <c r="I83" s="4"/>
      <c r="J83" s="4"/>
      <c r="K83" s="4" t="e">
        <f t="shared" si="21"/>
        <v>#VALUE!</v>
      </c>
      <c r="L83" s="5" t="e">
        <f>IF($A83="","",MAX(Inputs!$B$14,(IF($B83="",Inputs!$B$20,$B83)+Inputs!$B$12)))</f>
        <v>#VALUE!</v>
      </c>
      <c r="M83" s="4" t="e">
        <f t="shared" si="22"/>
        <v>#VALUE!</v>
      </c>
      <c r="N83" s="4" t="e">
        <f t="shared" si="23"/>
        <v>#VALUE!</v>
      </c>
      <c r="O83" s="4" t="e">
        <f>IF($A83="","",$N83*Inputs!$B$15/12)</f>
        <v>#VALUE!</v>
      </c>
      <c r="P83" s="4" t="e">
        <f>IF($A83="","",SUM(IF($A83=EOMONTH(Inputs!$B$3,0),Inputs!$B$4*Inputs!$B$16,0),IF(Inputs!$B$3="",0,IF($A83=EOMONTH(Inputs!$B$3,12),Inputs!$B$4*Inputs!$B$16,0)),IF(Inputs!$B$3="",0,IF($A83=EOMONTH(Inputs!$B$3,24),Inputs!$B$4*Inputs!$B$16,0))))</f>
        <v>#VALUE!</v>
      </c>
      <c r="Q83" s="4" t="e">
        <f>IF($A83="","",IF(AND(Inputs!$B$18&lt;&gt;"",$A83=EOMONTH(Inputs!$B$18,0),Inputs!$B$18&lt;=Inputs!$B$23),Inputs!$B$4*Inputs!$B$17,0))</f>
        <v>#VALUE!</v>
      </c>
      <c r="R83" s="4" t="e">
        <f t="shared" si="30"/>
        <v>#VALUE!</v>
      </c>
      <c r="S83" s="4"/>
      <c r="T83" s="4" t="e">
        <f>IF($A83="","",IF(OR(Inputs!$B$27="",Inputs!$B$28=""),0,IF($A83&lt;Inputs!$B$27,0,IF($A83&gt;Inputs!$B$29,0,$R83/MAX(1,Inputs!$B$28-DATEDIF(Inputs!$B$27,$A83,"m"))))))</f>
        <v>#VALUE!</v>
      </c>
      <c r="U83" s="4"/>
      <c r="V83" s="4" t="e">
        <f t="shared" si="24"/>
        <v>#VALUE!</v>
      </c>
      <c r="W83" s="5" t="e">
        <f>IF($A83="","",MAX(Inputs!$B$14,(IF($B83="",Inputs!$B$20,$B83)+Inputs!$B$13)))</f>
        <v>#VALUE!</v>
      </c>
      <c r="X83" s="4" t="e">
        <f t="shared" si="25"/>
        <v>#VALUE!</v>
      </c>
      <c r="Y83" s="4" t="e">
        <f>IF($A83="","",IF(AND(IF($U83="",0,$U83)&gt;0,Inputs!$B$24&lt;&gt;"",$A83&lt;=EOMONTH(Inputs!$B$24,0)),IF($U83="",0,$U83)*Inputs!$B$19,0))</f>
        <v>#VALUE!</v>
      </c>
      <c r="Z83" s="4" t="e">
        <f t="shared" si="26"/>
        <v>#VALUE!</v>
      </c>
      <c r="AA83" s="4" t="e">
        <f t="shared" si="27"/>
        <v>#VALUE!</v>
      </c>
      <c r="AB83" s="4" t="e">
        <f t="shared" si="28"/>
        <v>#VALUE!</v>
      </c>
      <c r="AC83" s="4" t="e">
        <f>IF($A83="","",SUM($AB$2:$AB83))</f>
        <v>#VALUE!</v>
      </c>
    </row>
    <row r="84" spans="1:29" x14ac:dyDescent="0.45">
      <c r="A84" s="3" t="e">
        <f>IF(OR($A83="",AND(Inputs!$B$31&lt;&gt;"",EOMONTH($A83,1)&gt;Inputs!$B$31)),"",EOMONTH($A83,1))</f>
        <v>#VALUE!</v>
      </c>
      <c r="B84" s="5"/>
      <c r="C84" s="4"/>
      <c r="D84" s="5"/>
      <c r="E84" s="8" t="e">
        <f>IF($A84="","",MAX(0,(1-(IF($D84="",Inputs!$B$21,$D84)))*IF($A84&lt;=DATE(2026,7,31),9,IF($A84&lt;=DATE(2027,7,31),7.5,6))))</f>
        <v>#VALUE!</v>
      </c>
      <c r="F84" s="4" t="e">
        <f>IF($A84="","",(IF($C84="",Inputs!$B$22,$C84))*$E84)</f>
        <v>#VALUE!</v>
      </c>
      <c r="G84" s="4" t="e">
        <f>IF($A84="","",Inputs!$B$4+IF(AND(Inputs!$B$6&lt;&gt;"",$A84&gt;=EOMONTH(Inputs!$B$6,0)),Inputs!$B$5,0))</f>
        <v>#VALUE!</v>
      </c>
      <c r="H84" s="4" t="e">
        <f t="shared" si="29"/>
        <v>#VALUE!</v>
      </c>
      <c r="I84" s="4"/>
      <c r="J84" s="4"/>
      <c r="K84" s="4" t="e">
        <f t="shared" si="21"/>
        <v>#VALUE!</v>
      </c>
      <c r="L84" s="5" t="e">
        <f>IF($A84="","",MAX(Inputs!$B$14,(IF($B84="",Inputs!$B$20,$B84)+Inputs!$B$12)))</f>
        <v>#VALUE!</v>
      </c>
      <c r="M84" s="4" t="e">
        <f t="shared" si="22"/>
        <v>#VALUE!</v>
      </c>
      <c r="N84" s="4" t="e">
        <f t="shared" si="23"/>
        <v>#VALUE!</v>
      </c>
      <c r="O84" s="4" t="e">
        <f>IF($A84="","",$N84*Inputs!$B$15/12)</f>
        <v>#VALUE!</v>
      </c>
      <c r="P84" s="4" t="e">
        <f>IF($A84="","",SUM(IF($A84=EOMONTH(Inputs!$B$3,0),Inputs!$B$4*Inputs!$B$16,0),IF(Inputs!$B$3="",0,IF($A84=EOMONTH(Inputs!$B$3,12),Inputs!$B$4*Inputs!$B$16,0)),IF(Inputs!$B$3="",0,IF($A84=EOMONTH(Inputs!$B$3,24),Inputs!$B$4*Inputs!$B$16,0))))</f>
        <v>#VALUE!</v>
      </c>
      <c r="Q84" s="4" t="e">
        <f>IF($A84="","",IF(AND(Inputs!$B$18&lt;&gt;"",$A84=EOMONTH(Inputs!$B$18,0),Inputs!$B$18&lt;=Inputs!$B$23),Inputs!$B$4*Inputs!$B$17,0))</f>
        <v>#VALUE!</v>
      </c>
      <c r="R84" s="4" t="e">
        <f t="shared" si="30"/>
        <v>#VALUE!</v>
      </c>
      <c r="S84" s="4"/>
      <c r="T84" s="4" t="e">
        <f>IF($A84="","",IF(OR(Inputs!$B$27="",Inputs!$B$28=""),0,IF($A84&lt;Inputs!$B$27,0,IF($A84&gt;Inputs!$B$29,0,$R84/MAX(1,Inputs!$B$28-DATEDIF(Inputs!$B$27,$A84,"m"))))))</f>
        <v>#VALUE!</v>
      </c>
      <c r="U84" s="4"/>
      <c r="V84" s="4" t="e">
        <f t="shared" si="24"/>
        <v>#VALUE!</v>
      </c>
      <c r="W84" s="5" t="e">
        <f>IF($A84="","",MAX(Inputs!$B$14,(IF($B84="",Inputs!$B$20,$B84)+Inputs!$B$13)))</f>
        <v>#VALUE!</v>
      </c>
      <c r="X84" s="4" t="e">
        <f t="shared" si="25"/>
        <v>#VALUE!</v>
      </c>
      <c r="Y84" s="4" t="e">
        <f>IF($A84="","",IF(AND(IF($U84="",0,$U84)&gt;0,Inputs!$B$24&lt;&gt;"",$A84&lt;=EOMONTH(Inputs!$B$24,0)),IF($U84="",0,$U84)*Inputs!$B$19,0))</f>
        <v>#VALUE!</v>
      </c>
      <c r="Z84" s="4" t="e">
        <f t="shared" si="26"/>
        <v>#VALUE!</v>
      </c>
      <c r="AA84" s="4" t="e">
        <f t="shared" si="27"/>
        <v>#VALUE!</v>
      </c>
      <c r="AB84" s="4" t="e">
        <f t="shared" si="28"/>
        <v>#VALUE!</v>
      </c>
      <c r="AC84" s="4" t="e">
        <f>IF($A84="","",SUM($AB$2:$AB84))</f>
        <v>#VALUE!</v>
      </c>
    </row>
    <row r="85" spans="1:29" x14ac:dyDescent="0.45">
      <c r="A85" s="3" t="e">
        <f>IF(OR($A84="",AND(Inputs!$B$31&lt;&gt;"",EOMONTH($A84,1)&gt;Inputs!$B$31)),"",EOMONTH($A84,1))</f>
        <v>#VALUE!</v>
      </c>
      <c r="B85" s="5"/>
      <c r="C85" s="4"/>
      <c r="D85" s="5"/>
      <c r="E85" s="8" t="e">
        <f>IF($A85="","",MAX(0,(1-(IF($D85="",Inputs!$B$21,$D85)))*IF($A85&lt;=DATE(2026,7,31),9,IF($A85&lt;=DATE(2027,7,31),7.5,6))))</f>
        <v>#VALUE!</v>
      </c>
      <c r="F85" s="4" t="e">
        <f>IF($A85="","",(IF($C85="",Inputs!$B$22,$C85))*$E85)</f>
        <v>#VALUE!</v>
      </c>
      <c r="G85" s="4" t="e">
        <f>IF($A85="","",Inputs!$B$4+IF(AND(Inputs!$B$6&lt;&gt;"",$A85&gt;=EOMONTH(Inputs!$B$6,0)),Inputs!$B$5,0))</f>
        <v>#VALUE!</v>
      </c>
      <c r="H85" s="4" t="e">
        <f t="shared" si="29"/>
        <v>#VALUE!</v>
      </c>
      <c r="I85" s="4"/>
      <c r="J85" s="4"/>
      <c r="K85" s="4" t="e">
        <f t="shared" si="21"/>
        <v>#VALUE!</v>
      </c>
      <c r="L85" s="5" t="e">
        <f>IF($A85="","",MAX(Inputs!$B$14,(IF($B85="",Inputs!$B$20,$B85)+Inputs!$B$12)))</f>
        <v>#VALUE!</v>
      </c>
      <c r="M85" s="4" t="e">
        <f t="shared" si="22"/>
        <v>#VALUE!</v>
      </c>
      <c r="N85" s="4" t="e">
        <f t="shared" si="23"/>
        <v>#VALUE!</v>
      </c>
      <c r="O85" s="4" t="e">
        <f>IF($A85="","",$N85*Inputs!$B$15/12)</f>
        <v>#VALUE!</v>
      </c>
      <c r="P85" s="4" t="e">
        <f>IF($A85="","",SUM(IF($A85=EOMONTH(Inputs!$B$3,0),Inputs!$B$4*Inputs!$B$16,0),IF(Inputs!$B$3="",0,IF($A85=EOMONTH(Inputs!$B$3,12),Inputs!$B$4*Inputs!$B$16,0)),IF(Inputs!$B$3="",0,IF($A85=EOMONTH(Inputs!$B$3,24),Inputs!$B$4*Inputs!$B$16,0))))</f>
        <v>#VALUE!</v>
      </c>
      <c r="Q85" s="4" t="e">
        <f>IF($A85="","",IF(AND(Inputs!$B$18&lt;&gt;"",$A85=EOMONTH(Inputs!$B$18,0),Inputs!$B$18&lt;=Inputs!$B$23),Inputs!$B$4*Inputs!$B$17,0))</f>
        <v>#VALUE!</v>
      </c>
      <c r="R85" s="4" t="e">
        <f t="shared" si="30"/>
        <v>#VALUE!</v>
      </c>
      <c r="S85" s="4"/>
      <c r="T85" s="4" t="e">
        <f>IF($A85="","",IF(OR(Inputs!$B$27="",Inputs!$B$28=""),0,IF($A85&lt;Inputs!$B$27,0,IF($A85&gt;Inputs!$B$29,0,$R85/MAX(1,Inputs!$B$28-DATEDIF(Inputs!$B$27,$A85,"m"))))))</f>
        <v>#VALUE!</v>
      </c>
      <c r="U85" s="4"/>
      <c r="V85" s="4" t="e">
        <f t="shared" si="24"/>
        <v>#VALUE!</v>
      </c>
      <c r="W85" s="5" t="e">
        <f>IF($A85="","",MAX(Inputs!$B$14,(IF($B85="",Inputs!$B$20,$B85)+Inputs!$B$13)))</f>
        <v>#VALUE!</v>
      </c>
      <c r="X85" s="4" t="e">
        <f t="shared" si="25"/>
        <v>#VALUE!</v>
      </c>
      <c r="Y85" s="4" t="e">
        <f>IF($A85="","",IF(AND(IF($U85="",0,$U85)&gt;0,Inputs!$B$24&lt;&gt;"",$A85&lt;=EOMONTH(Inputs!$B$24,0)),IF($U85="",0,$U85)*Inputs!$B$19,0))</f>
        <v>#VALUE!</v>
      </c>
      <c r="Z85" s="4" t="e">
        <f t="shared" si="26"/>
        <v>#VALUE!</v>
      </c>
      <c r="AA85" s="4" t="e">
        <f t="shared" si="27"/>
        <v>#VALUE!</v>
      </c>
      <c r="AB85" s="4" t="e">
        <f t="shared" si="28"/>
        <v>#VALUE!</v>
      </c>
      <c r="AC85" s="4" t="e">
        <f>IF($A85="","",SUM($AB$2:$AB85))</f>
        <v>#VALUE!</v>
      </c>
    </row>
    <row r="86" spans="1:29" x14ac:dyDescent="0.45">
      <c r="A86" s="3" t="e">
        <f>IF(OR($A85="",AND(Inputs!$B$31&lt;&gt;"",EOMONTH($A85,1)&gt;Inputs!$B$31)),"",EOMONTH($A85,1))</f>
        <v>#VALUE!</v>
      </c>
      <c r="B86" s="5"/>
      <c r="C86" s="4"/>
      <c r="D86" s="5"/>
      <c r="E86" s="8" t="e">
        <f>IF($A86="","",MAX(0,(1-(IF($D86="",Inputs!$B$21,$D86)))*IF($A86&lt;=DATE(2026,7,31),9,IF($A86&lt;=DATE(2027,7,31),7.5,6))))</f>
        <v>#VALUE!</v>
      </c>
      <c r="F86" s="4" t="e">
        <f>IF($A86="","",(IF($C86="",Inputs!$B$22,$C86))*$E86)</f>
        <v>#VALUE!</v>
      </c>
      <c r="G86" s="4" t="e">
        <f>IF($A86="","",Inputs!$B$4+IF(AND(Inputs!$B$6&lt;&gt;"",$A86&gt;=EOMONTH(Inputs!$B$6,0)),Inputs!$B$5,0))</f>
        <v>#VALUE!</v>
      </c>
      <c r="H86" s="4" t="e">
        <f t="shared" si="29"/>
        <v>#VALUE!</v>
      </c>
      <c r="I86" s="4"/>
      <c r="J86" s="4"/>
      <c r="K86" s="4" t="e">
        <f t="shared" si="21"/>
        <v>#VALUE!</v>
      </c>
      <c r="L86" s="5" t="e">
        <f>IF($A86="","",MAX(Inputs!$B$14,(IF($B86="",Inputs!$B$20,$B86)+Inputs!$B$12)))</f>
        <v>#VALUE!</v>
      </c>
      <c r="M86" s="4" t="e">
        <f t="shared" si="22"/>
        <v>#VALUE!</v>
      </c>
      <c r="N86" s="4" t="e">
        <f t="shared" si="23"/>
        <v>#VALUE!</v>
      </c>
      <c r="O86" s="4" t="e">
        <f>IF($A86="","",$N86*Inputs!$B$15/12)</f>
        <v>#VALUE!</v>
      </c>
      <c r="P86" s="4" t="e">
        <f>IF($A86="","",SUM(IF($A86=EOMONTH(Inputs!$B$3,0),Inputs!$B$4*Inputs!$B$16,0),IF(Inputs!$B$3="",0,IF($A86=EOMONTH(Inputs!$B$3,12),Inputs!$B$4*Inputs!$B$16,0)),IF(Inputs!$B$3="",0,IF($A86=EOMONTH(Inputs!$B$3,24),Inputs!$B$4*Inputs!$B$16,0))))</f>
        <v>#VALUE!</v>
      </c>
      <c r="Q86" s="4" t="e">
        <f>IF($A86="","",IF(AND(Inputs!$B$18&lt;&gt;"",$A86=EOMONTH(Inputs!$B$18,0),Inputs!$B$18&lt;=Inputs!$B$23),Inputs!$B$4*Inputs!$B$17,0))</f>
        <v>#VALUE!</v>
      </c>
      <c r="R86" s="4" t="e">
        <f t="shared" si="30"/>
        <v>#VALUE!</v>
      </c>
      <c r="S86" s="4"/>
      <c r="T86" s="4" t="e">
        <f>IF($A86="","",IF(OR(Inputs!$B$27="",Inputs!$B$28=""),0,IF($A86&lt;Inputs!$B$27,0,IF($A86&gt;Inputs!$B$29,0,$R86/MAX(1,Inputs!$B$28-DATEDIF(Inputs!$B$27,$A86,"m"))))))</f>
        <v>#VALUE!</v>
      </c>
      <c r="U86" s="4"/>
      <c r="V86" s="4" t="e">
        <f t="shared" si="24"/>
        <v>#VALUE!</v>
      </c>
      <c r="W86" s="5" t="e">
        <f>IF($A86="","",MAX(Inputs!$B$14,(IF($B86="",Inputs!$B$20,$B86)+Inputs!$B$13)))</f>
        <v>#VALUE!</v>
      </c>
      <c r="X86" s="4" t="e">
        <f t="shared" si="25"/>
        <v>#VALUE!</v>
      </c>
      <c r="Y86" s="4" t="e">
        <f>IF($A86="","",IF(AND(IF($U86="",0,$U86)&gt;0,Inputs!$B$24&lt;&gt;"",$A86&lt;=EOMONTH(Inputs!$B$24,0)),IF($U86="",0,$U86)*Inputs!$B$19,0))</f>
        <v>#VALUE!</v>
      </c>
      <c r="Z86" s="4" t="e">
        <f t="shared" si="26"/>
        <v>#VALUE!</v>
      </c>
      <c r="AA86" s="4" t="e">
        <f t="shared" si="27"/>
        <v>#VALUE!</v>
      </c>
      <c r="AB86" s="4" t="e">
        <f t="shared" si="28"/>
        <v>#VALUE!</v>
      </c>
      <c r="AC86" s="4" t="e">
        <f>IF($A86="","",SUM($AB$2:$AB86))</f>
        <v>#VALUE!</v>
      </c>
    </row>
    <row r="87" spans="1:29" x14ac:dyDescent="0.45">
      <c r="A87" s="3" t="e">
        <f>IF(OR($A86="",AND(Inputs!$B$31&lt;&gt;"",EOMONTH($A86,1)&gt;Inputs!$B$31)),"",EOMONTH($A86,1))</f>
        <v>#VALUE!</v>
      </c>
      <c r="B87" s="5"/>
      <c r="C87" s="4"/>
      <c r="D87" s="5"/>
      <c r="E87" s="8" t="e">
        <f>IF($A87="","",MAX(0,(1-(IF($D87="",Inputs!$B$21,$D87)))*IF($A87&lt;=DATE(2026,7,31),9,IF($A87&lt;=DATE(2027,7,31),7.5,6))))</f>
        <v>#VALUE!</v>
      </c>
      <c r="F87" s="4" t="e">
        <f>IF($A87="","",(IF($C87="",Inputs!$B$22,$C87))*$E87)</f>
        <v>#VALUE!</v>
      </c>
      <c r="G87" s="4" t="e">
        <f>IF($A87="","",Inputs!$B$4+IF(AND(Inputs!$B$6&lt;&gt;"",$A87&gt;=EOMONTH(Inputs!$B$6,0)),Inputs!$B$5,0))</f>
        <v>#VALUE!</v>
      </c>
      <c r="H87" s="4" t="e">
        <f t="shared" si="29"/>
        <v>#VALUE!</v>
      </c>
      <c r="I87" s="4"/>
      <c r="J87" s="4"/>
      <c r="K87" s="4" t="e">
        <f t="shared" si="21"/>
        <v>#VALUE!</v>
      </c>
      <c r="L87" s="5" t="e">
        <f>IF($A87="","",MAX(Inputs!$B$14,(IF($B87="",Inputs!$B$20,$B87)+Inputs!$B$12)))</f>
        <v>#VALUE!</v>
      </c>
      <c r="M87" s="4" t="e">
        <f t="shared" si="22"/>
        <v>#VALUE!</v>
      </c>
      <c r="N87" s="4" t="e">
        <f t="shared" si="23"/>
        <v>#VALUE!</v>
      </c>
      <c r="O87" s="4" t="e">
        <f>IF($A87="","",$N87*Inputs!$B$15/12)</f>
        <v>#VALUE!</v>
      </c>
      <c r="P87" s="4" t="e">
        <f>IF($A87="","",SUM(IF($A87=EOMONTH(Inputs!$B$3,0),Inputs!$B$4*Inputs!$B$16,0),IF(Inputs!$B$3="",0,IF($A87=EOMONTH(Inputs!$B$3,12),Inputs!$B$4*Inputs!$B$16,0)),IF(Inputs!$B$3="",0,IF($A87=EOMONTH(Inputs!$B$3,24),Inputs!$B$4*Inputs!$B$16,0))))</f>
        <v>#VALUE!</v>
      </c>
      <c r="Q87" s="4" t="e">
        <f>IF($A87="","",IF(AND(Inputs!$B$18&lt;&gt;"",$A87=EOMONTH(Inputs!$B$18,0),Inputs!$B$18&lt;=Inputs!$B$23),Inputs!$B$4*Inputs!$B$17,0))</f>
        <v>#VALUE!</v>
      </c>
      <c r="R87" s="4" t="e">
        <f t="shared" si="30"/>
        <v>#VALUE!</v>
      </c>
      <c r="S87" s="4"/>
      <c r="T87" s="4" t="e">
        <f>IF($A87="","",IF(OR(Inputs!$B$27="",Inputs!$B$28=""),0,IF($A87&lt;Inputs!$B$27,0,IF($A87&gt;Inputs!$B$29,0,$R87/MAX(1,Inputs!$B$28-DATEDIF(Inputs!$B$27,$A87,"m"))))))</f>
        <v>#VALUE!</v>
      </c>
      <c r="U87" s="4"/>
      <c r="V87" s="4" t="e">
        <f t="shared" si="24"/>
        <v>#VALUE!</v>
      </c>
      <c r="W87" s="5" t="e">
        <f>IF($A87="","",MAX(Inputs!$B$14,(IF($B87="",Inputs!$B$20,$B87)+Inputs!$B$13)))</f>
        <v>#VALUE!</v>
      </c>
      <c r="X87" s="4" t="e">
        <f t="shared" si="25"/>
        <v>#VALUE!</v>
      </c>
      <c r="Y87" s="4" t="e">
        <f>IF($A87="","",IF(AND(IF($U87="",0,$U87)&gt;0,Inputs!$B$24&lt;&gt;"",$A87&lt;=EOMONTH(Inputs!$B$24,0)),IF($U87="",0,$U87)*Inputs!$B$19,0))</f>
        <v>#VALUE!</v>
      </c>
      <c r="Z87" s="4" t="e">
        <f t="shared" si="26"/>
        <v>#VALUE!</v>
      </c>
      <c r="AA87" s="4" t="e">
        <f t="shared" si="27"/>
        <v>#VALUE!</v>
      </c>
      <c r="AB87" s="4" t="e">
        <f t="shared" si="28"/>
        <v>#VALUE!</v>
      </c>
      <c r="AC87" s="4" t="e">
        <f>IF($A87="","",SUM($AB$2:$AB87))</f>
        <v>#VALUE!</v>
      </c>
    </row>
    <row r="88" spans="1:29" x14ac:dyDescent="0.45">
      <c r="A88" s="3" t="e">
        <f>IF(OR($A87="",AND(Inputs!$B$31&lt;&gt;"",EOMONTH($A87,1)&gt;Inputs!$B$31)),"",EOMONTH($A87,1))</f>
        <v>#VALUE!</v>
      </c>
      <c r="B88" s="5"/>
      <c r="C88" s="4"/>
      <c r="D88" s="5"/>
      <c r="E88" s="8" t="e">
        <f>IF($A88="","",MAX(0,(1-(IF($D88="",Inputs!$B$21,$D88)))*IF($A88&lt;=DATE(2026,7,31),9,IF($A88&lt;=DATE(2027,7,31),7.5,6))))</f>
        <v>#VALUE!</v>
      </c>
      <c r="F88" s="4" t="e">
        <f>IF($A88="","",(IF($C88="",Inputs!$B$22,$C88))*$E88)</f>
        <v>#VALUE!</v>
      </c>
      <c r="G88" s="4" t="e">
        <f>IF($A88="","",Inputs!$B$4+IF(AND(Inputs!$B$6&lt;&gt;"",$A88&gt;=EOMONTH(Inputs!$B$6,0)),Inputs!$B$5,0))</f>
        <v>#VALUE!</v>
      </c>
      <c r="H88" s="4" t="e">
        <f t="shared" si="29"/>
        <v>#VALUE!</v>
      </c>
      <c r="I88" s="4"/>
      <c r="J88" s="4"/>
      <c r="K88" s="4" t="e">
        <f t="shared" si="21"/>
        <v>#VALUE!</v>
      </c>
      <c r="L88" s="5" t="e">
        <f>IF($A88="","",MAX(Inputs!$B$14,(IF($B88="",Inputs!$B$20,$B88)+Inputs!$B$12)))</f>
        <v>#VALUE!</v>
      </c>
      <c r="M88" s="4" t="e">
        <f t="shared" si="22"/>
        <v>#VALUE!</v>
      </c>
      <c r="N88" s="4" t="e">
        <f t="shared" si="23"/>
        <v>#VALUE!</v>
      </c>
      <c r="O88" s="4" t="e">
        <f>IF($A88="","",$N88*Inputs!$B$15/12)</f>
        <v>#VALUE!</v>
      </c>
      <c r="P88" s="4" t="e">
        <f>IF($A88="","",SUM(IF($A88=EOMONTH(Inputs!$B$3,0),Inputs!$B$4*Inputs!$B$16,0),IF(Inputs!$B$3="",0,IF($A88=EOMONTH(Inputs!$B$3,12),Inputs!$B$4*Inputs!$B$16,0)),IF(Inputs!$B$3="",0,IF($A88=EOMONTH(Inputs!$B$3,24),Inputs!$B$4*Inputs!$B$16,0))))</f>
        <v>#VALUE!</v>
      </c>
      <c r="Q88" s="4" t="e">
        <f>IF($A88="","",IF(AND(Inputs!$B$18&lt;&gt;"",$A88=EOMONTH(Inputs!$B$18,0),Inputs!$B$18&lt;=Inputs!$B$23),Inputs!$B$4*Inputs!$B$17,0))</f>
        <v>#VALUE!</v>
      </c>
      <c r="R88" s="4" t="e">
        <f t="shared" si="30"/>
        <v>#VALUE!</v>
      </c>
      <c r="S88" s="4"/>
      <c r="T88" s="4" t="e">
        <f>IF($A88="","",IF(OR(Inputs!$B$27="",Inputs!$B$28=""),0,IF($A88&lt;Inputs!$B$27,0,IF($A88&gt;Inputs!$B$29,0,$R88/MAX(1,Inputs!$B$28-DATEDIF(Inputs!$B$27,$A88,"m"))))))</f>
        <v>#VALUE!</v>
      </c>
      <c r="U88" s="4"/>
      <c r="V88" s="4" t="e">
        <f t="shared" si="24"/>
        <v>#VALUE!</v>
      </c>
      <c r="W88" s="5" t="e">
        <f>IF($A88="","",MAX(Inputs!$B$14,(IF($B88="",Inputs!$B$20,$B88)+Inputs!$B$13)))</f>
        <v>#VALUE!</v>
      </c>
      <c r="X88" s="4" t="e">
        <f t="shared" si="25"/>
        <v>#VALUE!</v>
      </c>
      <c r="Y88" s="4" t="e">
        <f>IF($A88="","",IF(AND(IF($U88="",0,$U88)&gt;0,Inputs!$B$24&lt;&gt;"",$A88&lt;=EOMONTH(Inputs!$B$24,0)),IF($U88="",0,$U88)*Inputs!$B$19,0))</f>
        <v>#VALUE!</v>
      </c>
      <c r="Z88" s="4" t="e">
        <f t="shared" si="26"/>
        <v>#VALUE!</v>
      </c>
      <c r="AA88" s="4" t="e">
        <f t="shared" si="27"/>
        <v>#VALUE!</v>
      </c>
      <c r="AB88" s="4" t="e">
        <f t="shared" si="28"/>
        <v>#VALUE!</v>
      </c>
      <c r="AC88" s="4" t="e">
        <f>IF($A88="","",SUM($AB$2:$AB88))</f>
        <v>#VALUE!</v>
      </c>
    </row>
    <row r="89" spans="1:29" x14ac:dyDescent="0.45">
      <c r="A89" s="3" t="e">
        <f>IF(OR($A88="",AND(Inputs!$B$31&lt;&gt;"",EOMONTH($A88,1)&gt;Inputs!$B$31)),"",EOMONTH($A88,1))</f>
        <v>#VALUE!</v>
      </c>
      <c r="B89" s="5"/>
      <c r="C89" s="4"/>
      <c r="D89" s="5"/>
      <c r="E89" s="8" t="e">
        <f>IF($A89="","",MAX(0,(1-(IF($D89="",Inputs!$B$21,$D89)))*IF($A89&lt;=DATE(2026,7,31),9,IF($A89&lt;=DATE(2027,7,31),7.5,6))))</f>
        <v>#VALUE!</v>
      </c>
      <c r="F89" s="4" t="e">
        <f>IF($A89="","",(IF($C89="",Inputs!$B$22,$C89))*$E89)</f>
        <v>#VALUE!</v>
      </c>
      <c r="G89" s="4" t="e">
        <f>IF($A89="","",Inputs!$B$4+IF(AND(Inputs!$B$6&lt;&gt;"",$A89&gt;=EOMONTH(Inputs!$B$6,0)),Inputs!$B$5,0))</f>
        <v>#VALUE!</v>
      </c>
      <c r="H89" s="4" t="e">
        <f t="shared" si="29"/>
        <v>#VALUE!</v>
      </c>
      <c r="I89" s="4"/>
      <c r="J89" s="4"/>
      <c r="K89" s="4" t="e">
        <f t="shared" si="21"/>
        <v>#VALUE!</v>
      </c>
      <c r="L89" s="5" t="e">
        <f>IF($A89="","",MAX(Inputs!$B$14,(IF($B89="",Inputs!$B$20,$B89)+Inputs!$B$12)))</f>
        <v>#VALUE!</v>
      </c>
      <c r="M89" s="4" t="e">
        <f t="shared" si="22"/>
        <v>#VALUE!</v>
      </c>
      <c r="N89" s="4" t="e">
        <f t="shared" si="23"/>
        <v>#VALUE!</v>
      </c>
      <c r="O89" s="4" t="e">
        <f>IF($A89="","",$N89*Inputs!$B$15/12)</f>
        <v>#VALUE!</v>
      </c>
      <c r="P89" s="4" t="e">
        <f>IF($A89="","",SUM(IF($A89=EOMONTH(Inputs!$B$3,0),Inputs!$B$4*Inputs!$B$16,0),IF(Inputs!$B$3="",0,IF($A89=EOMONTH(Inputs!$B$3,12),Inputs!$B$4*Inputs!$B$16,0)),IF(Inputs!$B$3="",0,IF($A89=EOMONTH(Inputs!$B$3,24),Inputs!$B$4*Inputs!$B$16,0))))</f>
        <v>#VALUE!</v>
      </c>
      <c r="Q89" s="4" t="e">
        <f>IF($A89="","",IF(AND(Inputs!$B$18&lt;&gt;"",$A89=EOMONTH(Inputs!$B$18,0),Inputs!$B$18&lt;=Inputs!$B$23),Inputs!$B$4*Inputs!$B$17,0))</f>
        <v>#VALUE!</v>
      </c>
      <c r="R89" s="4" t="e">
        <f t="shared" si="30"/>
        <v>#VALUE!</v>
      </c>
      <c r="S89" s="4"/>
      <c r="T89" s="4" t="e">
        <f>IF($A89="","",IF(OR(Inputs!$B$27="",Inputs!$B$28=""),0,IF($A89&lt;Inputs!$B$27,0,IF($A89&gt;Inputs!$B$29,0,$R89/MAX(1,Inputs!$B$28-DATEDIF(Inputs!$B$27,$A89,"m"))))))</f>
        <v>#VALUE!</v>
      </c>
      <c r="U89" s="4"/>
      <c r="V89" s="4" t="e">
        <f t="shared" si="24"/>
        <v>#VALUE!</v>
      </c>
      <c r="W89" s="5" t="e">
        <f>IF($A89="","",MAX(Inputs!$B$14,(IF($B89="",Inputs!$B$20,$B89)+Inputs!$B$13)))</f>
        <v>#VALUE!</v>
      </c>
      <c r="X89" s="4" t="e">
        <f t="shared" si="25"/>
        <v>#VALUE!</v>
      </c>
      <c r="Y89" s="4" t="e">
        <f>IF($A89="","",IF(AND(IF($U89="",0,$U89)&gt;0,Inputs!$B$24&lt;&gt;"",$A89&lt;=EOMONTH(Inputs!$B$24,0)),IF($U89="",0,$U89)*Inputs!$B$19,0))</f>
        <v>#VALUE!</v>
      </c>
      <c r="Z89" s="4" t="e">
        <f t="shared" si="26"/>
        <v>#VALUE!</v>
      </c>
      <c r="AA89" s="4" t="e">
        <f t="shared" si="27"/>
        <v>#VALUE!</v>
      </c>
      <c r="AB89" s="4" t="e">
        <f t="shared" si="28"/>
        <v>#VALUE!</v>
      </c>
      <c r="AC89" s="4" t="e">
        <f>IF($A89="","",SUM($AB$2:$AB89))</f>
        <v>#VALUE!</v>
      </c>
    </row>
    <row r="90" spans="1:29" x14ac:dyDescent="0.45">
      <c r="A90" s="3" t="e">
        <f>IF(OR($A89="",AND(Inputs!$B$31&lt;&gt;"",EOMONTH($A89,1)&gt;Inputs!$B$31)),"",EOMONTH($A89,1))</f>
        <v>#VALUE!</v>
      </c>
      <c r="B90" s="5"/>
      <c r="C90" s="4"/>
      <c r="D90" s="5"/>
      <c r="E90" s="8" t="e">
        <f>IF($A90="","",MAX(0,(1-(IF($D90="",Inputs!$B$21,$D90)))*IF($A90&lt;=DATE(2026,7,31),9,IF($A90&lt;=DATE(2027,7,31),7.5,6))))</f>
        <v>#VALUE!</v>
      </c>
      <c r="F90" s="4" t="e">
        <f>IF($A90="","",(IF($C90="",Inputs!$B$22,$C90))*$E90)</f>
        <v>#VALUE!</v>
      </c>
      <c r="G90" s="4" t="e">
        <f>IF($A90="","",Inputs!$B$4+IF(AND(Inputs!$B$6&lt;&gt;"",$A90&gt;=EOMONTH(Inputs!$B$6,0)),Inputs!$B$5,0))</f>
        <v>#VALUE!</v>
      </c>
      <c r="H90" s="4" t="e">
        <f t="shared" si="29"/>
        <v>#VALUE!</v>
      </c>
      <c r="I90" s="4"/>
      <c r="J90" s="4"/>
      <c r="K90" s="4" t="e">
        <f t="shared" si="21"/>
        <v>#VALUE!</v>
      </c>
      <c r="L90" s="5" t="e">
        <f>IF($A90="","",MAX(Inputs!$B$14,(IF($B90="",Inputs!$B$20,$B90)+Inputs!$B$12)))</f>
        <v>#VALUE!</v>
      </c>
      <c r="M90" s="4" t="e">
        <f t="shared" si="22"/>
        <v>#VALUE!</v>
      </c>
      <c r="N90" s="4" t="e">
        <f t="shared" si="23"/>
        <v>#VALUE!</v>
      </c>
      <c r="O90" s="4" t="e">
        <f>IF($A90="","",$N90*Inputs!$B$15/12)</f>
        <v>#VALUE!</v>
      </c>
      <c r="P90" s="4" t="e">
        <f>IF($A90="","",SUM(IF($A90=EOMONTH(Inputs!$B$3,0),Inputs!$B$4*Inputs!$B$16,0),IF(Inputs!$B$3="",0,IF($A90=EOMONTH(Inputs!$B$3,12),Inputs!$B$4*Inputs!$B$16,0)),IF(Inputs!$B$3="",0,IF($A90=EOMONTH(Inputs!$B$3,24),Inputs!$B$4*Inputs!$B$16,0))))</f>
        <v>#VALUE!</v>
      </c>
      <c r="Q90" s="4" t="e">
        <f>IF($A90="","",IF(AND(Inputs!$B$18&lt;&gt;"",$A90=EOMONTH(Inputs!$B$18,0),Inputs!$B$18&lt;=Inputs!$B$23),Inputs!$B$4*Inputs!$B$17,0))</f>
        <v>#VALUE!</v>
      </c>
      <c r="R90" s="4" t="e">
        <f t="shared" si="30"/>
        <v>#VALUE!</v>
      </c>
      <c r="S90" s="4"/>
      <c r="T90" s="4" t="e">
        <f>IF($A90="","",IF(OR(Inputs!$B$27="",Inputs!$B$28=""),0,IF($A90&lt;Inputs!$B$27,0,IF($A90&gt;Inputs!$B$29,0,$R90/MAX(1,Inputs!$B$28-DATEDIF(Inputs!$B$27,$A90,"m"))))))</f>
        <v>#VALUE!</v>
      </c>
      <c r="U90" s="4"/>
      <c r="V90" s="4" t="e">
        <f t="shared" si="24"/>
        <v>#VALUE!</v>
      </c>
      <c r="W90" s="5" t="e">
        <f>IF($A90="","",MAX(Inputs!$B$14,(IF($B90="",Inputs!$B$20,$B90)+Inputs!$B$13)))</f>
        <v>#VALUE!</v>
      </c>
      <c r="X90" s="4" t="e">
        <f t="shared" si="25"/>
        <v>#VALUE!</v>
      </c>
      <c r="Y90" s="4" t="e">
        <f>IF($A90="","",IF(AND(IF($U90="",0,$U90)&gt;0,Inputs!$B$24&lt;&gt;"",$A90&lt;=EOMONTH(Inputs!$B$24,0)),IF($U90="",0,$U90)*Inputs!$B$19,0))</f>
        <v>#VALUE!</v>
      </c>
      <c r="Z90" s="4" t="e">
        <f t="shared" si="26"/>
        <v>#VALUE!</v>
      </c>
      <c r="AA90" s="4" t="e">
        <f t="shared" si="27"/>
        <v>#VALUE!</v>
      </c>
      <c r="AB90" s="4" t="e">
        <f t="shared" si="28"/>
        <v>#VALUE!</v>
      </c>
      <c r="AC90" s="4" t="e">
        <f>IF($A90="","",SUM($AB$2:$AB90))</f>
        <v>#VALUE!</v>
      </c>
    </row>
    <row r="91" spans="1:29" x14ac:dyDescent="0.45">
      <c r="A91" s="3" t="e">
        <f>IF(OR($A90="",AND(Inputs!$B$31&lt;&gt;"",EOMONTH($A90,1)&gt;Inputs!$B$31)),"",EOMONTH($A90,1))</f>
        <v>#VALUE!</v>
      </c>
      <c r="B91" s="5"/>
      <c r="C91" s="4"/>
      <c r="D91" s="5"/>
      <c r="E91" s="8" t="e">
        <f>IF($A91="","",MAX(0,(1-(IF($D91="",Inputs!$B$21,$D91)))*IF($A91&lt;=DATE(2026,7,31),9,IF($A91&lt;=DATE(2027,7,31),7.5,6))))</f>
        <v>#VALUE!</v>
      </c>
      <c r="F91" s="4" t="e">
        <f>IF($A91="","",(IF($C91="",Inputs!$B$22,$C91))*$E91)</f>
        <v>#VALUE!</v>
      </c>
      <c r="G91" s="4" t="e">
        <f>IF($A91="","",Inputs!$B$4+IF(AND(Inputs!$B$6&lt;&gt;"",$A91&gt;=EOMONTH(Inputs!$B$6,0)),Inputs!$B$5,0))</f>
        <v>#VALUE!</v>
      </c>
      <c r="H91" s="4" t="e">
        <f t="shared" si="29"/>
        <v>#VALUE!</v>
      </c>
      <c r="I91" s="4"/>
      <c r="J91" s="4"/>
      <c r="K91" s="4" t="e">
        <f t="shared" si="21"/>
        <v>#VALUE!</v>
      </c>
      <c r="L91" s="5" t="e">
        <f>IF($A91="","",MAX(Inputs!$B$14,(IF($B91="",Inputs!$B$20,$B91)+Inputs!$B$12)))</f>
        <v>#VALUE!</v>
      </c>
      <c r="M91" s="4" t="e">
        <f t="shared" si="22"/>
        <v>#VALUE!</v>
      </c>
      <c r="N91" s="4" t="e">
        <f t="shared" si="23"/>
        <v>#VALUE!</v>
      </c>
      <c r="O91" s="4" t="e">
        <f>IF($A91="","",$N91*Inputs!$B$15/12)</f>
        <v>#VALUE!</v>
      </c>
      <c r="P91" s="4" t="e">
        <f>IF($A91="","",SUM(IF($A91=EOMONTH(Inputs!$B$3,0),Inputs!$B$4*Inputs!$B$16,0),IF(Inputs!$B$3="",0,IF($A91=EOMONTH(Inputs!$B$3,12),Inputs!$B$4*Inputs!$B$16,0)),IF(Inputs!$B$3="",0,IF($A91=EOMONTH(Inputs!$B$3,24),Inputs!$B$4*Inputs!$B$16,0))))</f>
        <v>#VALUE!</v>
      </c>
      <c r="Q91" s="4" t="e">
        <f>IF($A91="","",IF(AND(Inputs!$B$18&lt;&gt;"",$A91=EOMONTH(Inputs!$B$18,0),Inputs!$B$18&lt;=Inputs!$B$23),Inputs!$B$4*Inputs!$B$17,0))</f>
        <v>#VALUE!</v>
      </c>
      <c r="R91" s="4" t="e">
        <f t="shared" si="30"/>
        <v>#VALUE!</v>
      </c>
      <c r="S91" s="4"/>
      <c r="T91" s="4" t="e">
        <f>IF($A91="","",IF(OR(Inputs!$B$27="",Inputs!$B$28=""),0,IF($A91&lt;Inputs!$B$27,0,IF($A91&gt;Inputs!$B$29,0,$R91/MAX(1,Inputs!$B$28-DATEDIF(Inputs!$B$27,$A91,"m"))))))</f>
        <v>#VALUE!</v>
      </c>
      <c r="U91" s="4"/>
      <c r="V91" s="4" t="e">
        <f t="shared" si="24"/>
        <v>#VALUE!</v>
      </c>
      <c r="W91" s="5" t="e">
        <f>IF($A91="","",MAX(Inputs!$B$14,(IF($B91="",Inputs!$B$20,$B91)+Inputs!$B$13)))</f>
        <v>#VALUE!</v>
      </c>
      <c r="X91" s="4" t="e">
        <f t="shared" si="25"/>
        <v>#VALUE!</v>
      </c>
      <c r="Y91" s="4" t="e">
        <f>IF($A91="","",IF(AND(IF($U91="",0,$U91)&gt;0,Inputs!$B$24&lt;&gt;"",$A91&lt;=EOMONTH(Inputs!$B$24,0)),IF($U91="",0,$U91)*Inputs!$B$19,0))</f>
        <v>#VALUE!</v>
      </c>
      <c r="Z91" s="4" t="e">
        <f t="shared" si="26"/>
        <v>#VALUE!</v>
      </c>
      <c r="AA91" s="4" t="e">
        <f t="shared" si="27"/>
        <v>#VALUE!</v>
      </c>
      <c r="AB91" s="4" t="e">
        <f t="shared" si="28"/>
        <v>#VALUE!</v>
      </c>
      <c r="AC91" s="4" t="e">
        <f>IF($A91="","",SUM($AB$2:$AB91))</f>
        <v>#VALUE!</v>
      </c>
    </row>
    <row r="92" spans="1:29" x14ac:dyDescent="0.45">
      <c r="A92" s="3" t="e">
        <f>IF(OR($A91="",AND(Inputs!$B$31&lt;&gt;"",EOMONTH($A91,1)&gt;Inputs!$B$31)),"",EOMONTH($A91,1))</f>
        <v>#VALUE!</v>
      </c>
      <c r="B92" s="5"/>
      <c r="C92" s="4"/>
      <c r="D92" s="5"/>
      <c r="E92" s="8" t="e">
        <f>IF($A92="","",MAX(0,(1-(IF($D92="",Inputs!$B$21,$D92)))*IF($A92&lt;=DATE(2026,7,31),9,IF($A92&lt;=DATE(2027,7,31),7.5,6))))</f>
        <v>#VALUE!</v>
      </c>
      <c r="F92" s="4" t="e">
        <f>IF($A92="","",(IF($C92="",Inputs!$B$22,$C92))*$E92)</f>
        <v>#VALUE!</v>
      </c>
      <c r="G92" s="4" t="e">
        <f>IF($A92="","",Inputs!$B$4+IF(AND(Inputs!$B$6&lt;&gt;"",$A92&gt;=EOMONTH(Inputs!$B$6,0)),Inputs!$B$5,0))</f>
        <v>#VALUE!</v>
      </c>
      <c r="H92" s="4" t="e">
        <f t="shared" si="29"/>
        <v>#VALUE!</v>
      </c>
      <c r="I92" s="4"/>
      <c r="J92" s="4"/>
      <c r="K92" s="4" t="e">
        <f t="shared" si="21"/>
        <v>#VALUE!</v>
      </c>
      <c r="L92" s="5" t="e">
        <f>IF($A92="","",MAX(Inputs!$B$14,(IF($B92="",Inputs!$B$20,$B92)+Inputs!$B$12)))</f>
        <v>#VALUE!</v>
      </c>
      <c r="M92" s="4" t="e">
        <f t="shared" si="22"/>
        <v>#VALUE!</v>
      </c>
      <c r="N92" s="4" t="e">
        <f t="shared" si="23"/>
        <v>#VALUE!</v>
      </c>
      <c r="O92" s="4" t="e">
        <f>IF($A92="","",$N92*Inputs!$B$15/12)</f>
        <v>#VALUE!</v>
      </c>
      <c r="P92" s="4" t="e">
        <f>IF($A92="","",SUM(IF($A92=EOMONTH(Inputs!$B$3,0),Inputs!$B$4*Inputs!$B$16,0),IF(Inputs!$B$3="",0,IF($A92=EOMONTH(Inputs!$B$3,12),Inputs!$B$4*Inputs!$B$16,0)),IF(Inputs!$B$3="",0,IF($A92=EOMONTH(Inputs!$B$3,24),Inputs!$B$4*Inputs!$B$16,0))))</f>
        <v>#VALUE!</v>
      </c>
      <c r="Q92" s="4" t="e">
        <f>IF($A92="","",IF(AND(Inputs!$B$18&lt;&gt;"",$A92=EOMONTH(Inputs!$B$18,0),Inputs!$B$18&lt;=Inputs!$B$23),Inputs!$B$4*Inputs!$B$17,0))</f>
        <v>#VALUE!</v>
      </c>
      <c r="R92" s="4" t="e">
        <f t="shared" si="30"/>
        <v>#VALUE!</v>
      </c>
      <c r="S92" s="4"/>
      <c r="T92" s="4" t="e">
        <f>IF($A92="","",IF(OR(Inputs!$B$27="",Inputs!$B$28=""),0,IF($A92&lt;Inputs!$B$27,0,IF($A92&gt;Inputs!$B$29,0,$R92/MAX(1,Inputs!$B$28-DATEDIF(Inputs!$B$27,$A92,"m"))))))</f>
        <v>#VALUE!</v>
      </c>
      <c r="U92" s="4"/>
      <c r="V92" s="4" t="e">
        <f t="shared" si="24"/>
        <v>#VALUE!</v>
      </c>
      <c r="W92" s="5" t="e">
        <f>IF($A92="","",MAX(Inputs!$B$14,(IF($B92="",Inputs!$B$20,$B92)+Inputs!$B$13)))</f>
        <v>#VALUE!</v>
      </c>
      <c r="X92" s="4" t="e">
        <f t="shared" si="25"/>
        <v>#VALUE!</v>
      </c>
      <c r="Y92" s="4" t="e">
        <f>IF($A92="","",IF(AND(IF($U92="",0,$U92)&gt;0,Inputs!$B$24&lt;&gt;"",$A92&lt;=EOMONTH(Inputs!$B$24,0)),IF($U92="",0,$U92)*Inputs!$B$19,0))</f>
        <v>#VALUE!</v>
      </c>
      <c r="Z92" s="4" t="e">
        <f t="shared" si="26"/>
        <v>#VALUE!</v>
      </c>
      <c r="AA92" s="4" t="e">
        <f t="shared" si="27"/>
        <v>#VALUE!</v>
      </c>
      <c r="AB92" s="4" t="e">
        <f t="shared" si="28"/>
        <v>#VALUE!</v>
      </c>
      <c r="AC92" s="4" t="e">
        <f>IF($A92="","",SUM($AB$2:$AB92))</f>
        <v>#VALUE!</v>
      </c>
    </row>
    <row r="93" spans="1:29" x14ac:dyDescent="0.45">
      <c r="A93" s="3" t="e">
        <f>IF(OR($A92="",AND(Inputs!$B$31&lt;&gt;"",EOMONTH($A92,1)&gt;Inputs!$B$31)),"",EOMONTH($A92,1))</f>
        <v>#VALUE!</v>
      </c>
      <c r="B93" s="5"/>
      <c r="C93" s="4"/>
      <c r="D93" s="5"/>
      <c r="E93" s="8" t="e">
        <f>IF($A93="","",MAX(0,(1-(IF($D93="",Inputs!$B$21,$D93)))*IF($A93&lt;=DATE(2026,7,31),9,IF($A93&lt;=DATE(2027,7,31),7.5,6))))</f>
        <v>#VALUE!</v>
      </c>
      <c r="F93" s="4" t="e">
        <f>IF($A93="","",(IF($C93="",Inputs!$B$22,$C93))*$E93)</f>
        <v>#VALUE!</v>
      </c>
      <c r="G93" s="4" t="e">
        <f>IF($A93="","",Inputs!$B$4+IF(AND(Inputs!$B$6&lt;&gt;"",$A93&gt;=EOMONTH(Inputs!$B$6,0)),Inputs!$B$5,0))</f>
        <v>#VALUE!</v>
      </c>
      <c r="H93" s="4" t="e">
        <f t="shared" si="29"/>
        <v>#VALUE!</v>
      </c>
      <c r="I93" s="4"/>
      <c r="J93" s="4"/>
      <c r="K93" s="4" t="e">
        <f t="shared" si="21"/>
        <v>#VALUE!</v>
      </c>
      <c r="L93" s="5" t="e">
        <f>IF($A93="","",MAX(Inputs!$B$14,(IF($B93="",Inputs!$B$20,$B93)+Inputs!$B$12)))</f>
        <v>#VALUE!</v>
      </c>
      <c r="M93" s="4" t="e">
        <f t="shared" si="22"/>
        <v>#VALUE!</v>
      </c>
      <c r="N93" s="4" t="e">
        <f t="shared" si="23"/>
        <v>#VALUE!</v>
      </c>
      <c r="O93" s="4" t="e">
        <f>IF($A93="","",$N93*Inputs!$B$15/12)</f>
        <v>#VALUE!</v>
      </c>
      <c r="P93" s="4" t="e">
        <f>IF($A93="","",SUM(IF($A93=EOMONTH(Inputs!$B$3,0),Inputs!$B$4*Inputs!$B$16,0),IF(Inputs!$B$3="",0,IF($A93=EOMONTH(Inputs!$B$3,12),Inputs!$B$4*Inputs!$B$16,0)),IF(Inputs!$B$3="",0,IF($A93=EOMONTH(Inputs!$B$3,24),Inputs!$B$4*Inputs!$B$16,0))))</f>
        <v>#VALUE!</v>
      </c>
      <c r="Q93" s="4" t="e">
        <f>IF($A93="","",IF(AND(Inputs!$B$18&lt;&gt;"",$A93=EOMONTH(Inputs!$B$18,0),Inputs!$B$18&lt;=Inputs!$B$23),Inputs!$B$4*Inputs!$B$17,0))</f>
        <v>#VALUE!</v>
      </c>
      <c r="R93" s="4" t="e">
        <f t="shared" si="30"/>
        <v>#VALUE!</v>
      </c>
      <c r="S93" s="4"/>
      <c r="T93" s="4" t="e">
        <f>IF($A93="","",IF(OR(Inputs!$B$27="",Inputs!$B$28=""),0,IF($A93&lt;Inputs!$B$27,0,IF($A93&gt;Inputs!$B$29,0,$R93/MAX(1,Inputs!$B$28-DATEDIF(Inputs!$B$27,$A93,"m"))))))</f>
        <v>#VALUE!</v>
      </c>
      <c r="U93" s="4"/>
      <c r="V93" s="4" t="e">
        <f t="shared" si="24"/>
        <v>#VALUE!</v>
      </c>
      <c r="W93" s="5" t="e">
        <f>IF($A93="","",MAX(Inputs!$B$14,(IF($B93="",Inputs!$B$20,$B93)+Inputs!$B$13)))</f>
        <v>#VALUE!</v>
      </c>
      <c r="X93" s="4" t="e">
        <f t="shared" si="25"/>
        <v>#VALUE!</v>
      </c>
      <c r="Y93" s="4" t="e">
        <f>IF($A93="","",IF(AND(IF($U93="",0,$U93)&gt;0,Inputs!$B$24&lt;&gt;"",$A93&lt;=EOMONTH(Inputs!$B$24,0)),IF($U93="",0,$U93)*Inputs!$B$19,0))</f>
        <v>#VALUE!</v>
      </c>
      <c r="Z93" s="4" t="e">
        <f t="shared" si="26"/>
        <v>#VALUE!</v>
      </c>
      <c r="AA93" s="4" t="e">
        <f t="shared" si="27"/>
        <v>#VALUE!</v>
      </c>
      <c r="AB93" s="4" t="e">
        <f t="shared" si="28"/>
        <v>#VALUE!</v>
      </c>
      <c r="AC93" s="4" t="e">
        <f>IF($A93="","",SUM($AB$2:$AB93))</f>
        <v>#VALUE!</v>
      </c>
    </row>
    <row r="94" spans="1:29" x14ac:dyDescent="0.45">
      <c r="A94" s="3" t="e">
        <f>IF(OR($A93="",AND(Inputs!$B$31&lt;&gt;"",EOMONTH($A93,1)&gt;Inputs!$B$31)),"",EOMONTH($A93,1))</f>
        <v>#VALUE!</v>
      </c>
      <c r="B94" s="5"/>
      <c r="C94" s="4"/>
      <c r="D94" s="5"/>
      <c r="E94" s="8" t="e">
        <f>IF($A94="","",MAX(0,(1-(IF($D94="",Inputs!$B$21,$D94)))*IF($A94&lt;=DATE(2026,7,31),9,IF($A94&lt;=DATE(2027,7,31),7.5,6))))</f>
        <v>#VALUE!</v>
      </c>
      <c r="F94" s="4" t="e">
        <f>IF($A94="","",(IF($C94="",Inputs!$B$22,$C94))*$E94)</f>
        <v>#VALUE!</v>
      </c>
      <c r="G94" s="4" t="e">
        <f>IF($A94="","",Inputs!$B$4+IF(AND(Inputs!$B$6&lt;&gt;"",$A94&gt;=EOMONTH(Inputs!$B$6,0)),Inputs!$B$5,0))</f>
        <v>#VALUE!</v>
      </c>
      <c r="H94" s="4" t="e">
        <f t="shared" si="29"/>
        <v>#VALUE!</v>
      </c>
      <c r="I94" s="4"/>
      <c r="J94" s="4"/>
      <c r="K94" s="4" t="e">
        <f t="shared" si="21"/>
        <v>#VALUE!</v>
      </c>
      <c r="L94" s="5" t="e">
        <f>IF($A94="","",MAX(Inputs!$B$14,(IF($B94="",Inputs!$B$20,$B94)+Inputs!$B$12)))</f>
        <v>#VALUE!</v>
      </c>
      <c r="M94" s="4" t="e">
        <f t="shared" si="22"/>
        <v>#VALUE!</v>
      </c>
      <c r="N94" s="4" t="e">
        <f t="shared" si="23"/>
        <v>#VALUE!</v>
      </c>
      <c r="O94" s="4" t="e">
        <f>IF($A94="","",$N94*Inputs!$B$15/12)</f>
        <v>#VALUE!</v>
      </c>
      <c r="P94" s="4" t="e">
        <f>IF($A94="","",SUM(IF($A94=EOMONTH(Inputs!$B$3,0),Inputs!$B$4*Inputs!$B$16,0),IF(Inputs!$B$3="",0,IF($A94=EOMONTH(Inputs!$B$3,12),Inputs!$B$4*Inputs!$B$16,0)),IF(Inputs!$B$3="",0,IF($A94=EOMONTH(Inputs!$B$3,24),Inputs!$B$4*Inputs!$B$16,0))))</f>
        <v>#VALUE!</v>
      </c>
      <c r="Q94" s="4" t="e">
        <f>IF($A94="","",IF(AND(Inputs!$B$18&lt;&gt;"",$A94=EOMONTH(Inputs!$B$18,0),Inputs!$B$18&lt;=Inputs!$B$23),Inputs!$B$4*Inputs!$B$17,0))</f>
        <v>#VALUE!</v>
      </c>
      <c r="R94" s="4" t="e">
        <f t="shared" si="30"/>
        <v>#VALUE!</v>
      </c>
      <c r="S94" s="4"/>
      <c r="T94" s="4" t="e">
        <f>IF($A94="","",IF(OR(Inputs!$B$27="",Inputs!$B$28=""),0,IF($A94&lt;Inputs!$B$27,0,IF($A94&gt;Inputs!$B$29,0,$R94/MAX(1,Inputs!$B$28-DATEDIF(Inputs!$B$27,$A94,"m"))))))</f>
        <v>#VALUE!</v>
      </c>
      <c r="U94" s="4"/>
      <c r="V94" s="4" t="e">
        <f t="shared" si="24"/>
        <v>#VALUE!</v>
      </c>
      <c r="W94" s="5" t="e">
        <f>IF($A94="","",MAX(Inputs!$B$14,(IF($B94="",Inputs!$B$20,$B94)+Inputs!$B$13)))</f>
        <v>#VALUE!</v>
      </c>
      <c r="X94" s="4" t="e">
        <f t="shared" si="25"/>
        <v>#VALUE!</v>
      </c>
      <c r="Y94" s="4" t="e">
        <f>IF($A94="","",IF(AND(IF($U94="",0,$U94)&gt;0,Inputs!$B$24&lt;&gt;"",$A94&lt;=EOMONTH(Inputs!$B$24,0)),IF($U94="",0,$U94)*Inputs!$B$19,0))</f>
        <v>#VALUE!</v>
      </c>
      <c r="Z94" s="4" t="e">
        <f t="shared" si="26"/>
        <v>#VALUE!</v>
      </c>
      <c r="AA94" s="4" t="e">
        <f t="shared" si="27"/>
        <v>#VALUE!</v>
      </c>
      <c r="AB94" s="4" t="e">
        <f t="shared" si="28"/>
        <v>#VALUE!</v>
      </c>
      <c r="AC94" s="4" t="e">
        <f>IF($A94="","",SUM($AB$2:$AB94))</f>
        <v>#VALUE!</v>
      </c>
    </row>
    <row r="95" spans="1:29" x14ac:dyDescent="0.45">
      <c r="A95" s="3" t="e">
        <f>IF(OR($A94="",AND(Inputs!$B$31&lt;&gt;"",EOMONTH($A94,1)&gt;Inputs!$B$31)),"",EOMONTH($A94,1))</f>
        <v>#VALUE!</v>
      </c>
      <c r="B95" s="5"/>
      <c r="C95" s="4"/>
      <c r="D95" s="5"/>
      <c r="E95" s="8" t="e">
        <f>IF($A95="","",MAX(0,(1-(IF($D95="",Inputs!$B$21,$D95)))*IF($A95&lt;=DATE(2026,7,31),9,IF($A95&lt;=DATE(2027,7,31),7.5,6))))</f>
        <v>#VALUE!</v>
      </c>
      <c r="F95" s="4" t="e">
        <f>IF($A95="","",(IF($C95="",Inputs!$B$22,$C95))*$E95)</f>
        <v>#VALUE!</v>
      </c>
      <c r="G95" s="4" t="e">
        <f>IF($A95="","",Inputs!$B$4+IF(AND(Inputs!$B$6&lt;&gt;"",$A95&gt;=EOMONTH(Inputs!$B$6,0)),Inputs!$B$5,0))</f>
        <v>#VALUE!</v>
      </c>
      <c r="H95" s="4" t="e">
        <f t="shared" si="29"/>
        <v>#VALUE!</v>
      </c>
      <c r="I95" s="4"/>
      <c r="J95" s="4"/>
      <c r="K95" s="4" t="e">
        <f t="shared" si="21"/>
        <v>#VALUE!</v>
      </c>
      <c r="L95" s="5" t="e">
        <f>IF($A95="","",MAX(Inputs!$B$14,(IF($B95="",Inputs!$B$20,$B95)+Inputs!$B$12)))</f>
        <v>#VALUE!</v>
      </c>
      <c r="M95" s="4" t="e">
        <f t="shared" si="22"/>
        <v>#VALUE!</v>
      </c>
      <c r="N95" s="4" t="e">
        <f t="shared" si="23"/>
        <v>#VALUE!</v>
      </c>
      <c r="O95" s="4" t="e">
        <f>IF($A95="","",$N95*Inputs!$B$15/12)</f>
        <v>#VALUE!</v>
      </c>
      <c r="P95" s="4" t="e">
        <f>IF($A95="","",SUM(IF($A95=EOMONTH(Inputs!$B$3,0),Inputs!$B$4*Inputs!$B$16,0),IF(Inputs!$B$3="",0,IF($A95=EOMONTH(Inputs!$B$3,12),Inputs!$B$4*Inputs!$B$16,0)),IF(Inputs!$B$3="",0,IF($A95=EOMONTH(Inputs!$B$3,24),Inputs!$B$4*Inputs!$B$16,0))))</f>
        <v>#VALUE!</v>
      </c>
      <c r="Q95" s="4" t="e">
        <f>IF($A95="","",IF(AND(Inputs!$B$18&lt;&gt;"",$A95=EOMONTH(Inputs!$B$18,0),Inputs!$B$18&lt;=Inputs!$B$23),Inputs!$B$4*Inputs!$B$17,0))</f>
        <v>#VALUE!</v>
      </c>
      <c r="R95" s="4" t="e">
        <f t="shared" si="30"/>
        <v>#VALUE!</v>
      </c>
      <c r="S95" s="4"/>
      <c r="T95" s="4" t="e">
        <f>IF($A95="","",IF(OR(Inputs!$B$27="",Inputs!$B$28=""),0,IF($A95&lt;Inputs!$B$27,0,IF($A95&gt;Inputs!$B$29,0,$R95/MAX(1,Inputs!$B$28-DATEDIF(Inputs!$B$27,$A95,"m"))))))</f>
        <v>#VALUE!</v>
      </c>
      <c r="U95" s="4"/>
      <c r="V95" s="4" t="e">
        <f t="shared" si="24"/>
        <v>#VALUE!</v>
      </c>
      <c r="W95" s="5" t="e">
        <f>IF($A95="","",MAX(Inputs!$B$14,(IF($B95="",Inputs!$B$20,$B95)+Inputs!$B$13)))</f>
        <v>#VALUE!</v>
      </c>
      <c r="X95" s="4" t="e">
        <f t="shared" si="25"/>
        <v>#VALUE!</v>
      </c>
      <c r="Y95" s="4" t="e">
        <f>IF($A95="","",IF(AND(IF($U95="",0,$U95)&gt;0,Inputs!$B$24&lt;&gt;"",$A95&lt;=EOMONTH(Inputs!$B$24,0)),IF($U95="",0,$U95)*Inputs!$B$19,0))</f>
        <v>#VALUE!</v>
      </c>
      <c r="Z95" s="4" t="e">
        <f t="shared" si="26"/>
        <v>#VALUE!</v>
      </c>
      <c r="AA95" s="4" t="e">
        <f t="shared" si="27"/>
        <v>#VALUE!</v>
      </c>
      <c r="AB95" s="4" t="e">
        <f t="shared" si="28"/>
        <v>#VALUE!</v>
      </c>
      <c r="AC95" s="4" t="e">
        <f>IF($A95="","",SUM($AB$2:$AB95))</f>
        <v>#VALUE!</v>
      </c>
    </row>
    <row r="96" spans="1:29" x14ac:dyDescent="0.45">
      <c r="A96" s="3" t="e">
        <f>IF(OR($A95="",AND(Inputs!$B$31&lt;&gt;"",EOMONTH($A95,1)&gt;Inputs!$B$31)),"",EOMONTH($A95,1))</f>
        <v>#VALUE!</v>
      </c>
      <c r="B96" s="5"/>
      <c r="C96" s="4"/>
      <c r="D96" s="5"/>
      <c r="E96" s="8" t="e">
        <f>IF($A96="","",MAX(0,(1-(IF($D96="",Inputs!$B$21,$D96)))*IF($A96&lt;=DATE(2026,7,31),9,IF($A96&lt;=DATE(2027,7,31),7.5,6))))</f>
        <v>#VALUE!</v>
      </c>
      <c r="F96" s="4" t="e">
        <f>IF($A96="","",(IF($C96="",Inputs!$B$22,$C96))*$E96)</f>
        <v>#VALUE!</v>
      </c>
      <c r="G96" s="4" t="e">
        <f>IF($A96="","",Inputs!$B$4+IF(AND(Inputs!$B$6&lt;&gt;"",$A96&gt;=EOMONTH(Inputs!$B$6,0)),Inputs!$B$5,0))</f>
        <v>#VALUE!</v>
      </c>
      <c r="H96" s="4" t="e">
        <f t="shared" si="29"/>
        <v>#VALUE!</v>
      </c>
      <c r="I96" s="4"/>
      <c r="J96" s="4"/>
      <c r="K96" s="4" t="e">
        <f t="shared" si="21"/>
        <v>#VALUE!</v>
      </c>
      <c r="L96" s="5" t="e">
        <f>IF($A96="","",MAX(Inputs!$B$14,(IF($B96="",Inputs!$B$20,$B96)+Inputs!$B$12)))</f>
        <v>#VALUE!</v>
      </c>
      <c r="M96" s="4" t="e">
        <f t="shared" si="22"/>
        <v>#VALUE!</v>
      </c>
      <c r="N96" s="4" t="e">
        <f t="shared" si="23"/>
        <v>#VALUE!</v>
      </c>
      <c r="O96" s="4" t="e">
        <f>IF($A96="","",$N96*Inputs!$B$15/12)</f>
        <v>#VALUE!</v>
      </c>
      <c r="P96" s="4" t="e">
        <f>IF($A96="","",SUM(IF($A96=EOMONTH(Inputs!$B$3,0),Inputs!$B$4*Inputs!$B$16,0),IF(Inputs!$B$3="",0,IF($A96=EOMONTH(Inputs!$B$3,12),Inputs!$B$4*Inputs!$B$16,0)),IF(Inputs!$B$3="",0,IF($A96=EOMONTH(Inputs!$B$3,24),Inputs!$B$4*Inputs!$B$16,0))))</f>
        <v>#VALUE!</v>
      </c>
      <c r="Q96" s="4" t="e">
        <f>IF($A96="","",IF(AND(Inputs!$B$18&lt;&gt;"",$A96=EOMONTH(Inputs!$B$18,0),Inputs!$B$18&lt;=Inputs!$B$23),Inputs!$B$4*Inputs!$B$17,0))</f>
        <v>#VALUE!</v>
      </c>
      <c r="R96" s="4" t="e">
        <f t="shared" si="30"/>
        <v>#VALUE!</v>
      </c>
      <c r="S96" s="4"/>
      <c r="T96" s="4" t="e">
        <f>IF($A96="","",IF(OR(Inputs!$B$27="",Inputs!$B$28=""),0,IF($A96&lt;Inputs!$B$27,0,IF($A96&gt;Inputs!$B$29,0,$R96/MAX(1,Inputs!$B$28-DATEDIF(Inputs!$B$27,$A96,"m"))))))</f>
        <v>#VALUE!</v>
      </c>
      <c r="U96" s="4"/>
      <c r="V96" s="4" t="e">
        <f t="shared" si="24"/>
        <v>#VALUE!</v>
      </c>
      <c r="W96" s="5" t="e">
        <f>IF($A96="","",MAX(Inputs!$B$14,(IF($B96="",Inputs!$B$20,$B96)+Inputs!$B$13)))</f>
        <v>#VALUE!</v>
      </c>
      <c r="X96" s="4" t="e">
        <f t="shared" si="25"/>
        <v>#VALUE!</v>
      </c>
      <c r="Y96" s="4" t="e">
        <f>IF($A96="","",IF(AND(IF($U96="",0,$U96)&gt;0,Inputs!$B$24&lt;&gt;"",$A96&lt;=EOMONTH(Inputs!$B$24,0)),IF($U96="",0,$U96)*Inputs!$B$19,0))</f>
        <v>#VALUE!</v>
      </c>
      <c r="Z96" s="4" t="e">
        <f t="shared" si="26"/>
        <v>#VALUE!</v>
      </c>
      <c r="AA96" s="4" t="e">
        <f t="shared" si="27"/>
        <v>#VALUE!</v>
      </c>
      <c r="AB96" s="4" t="e">
        <f t="shared" si="28"/>
        <v>#VALUE!</v>
      </c>
      <c r="AC96" s="4" t="e">
        <f>IF($A96="","",SUM($AB$2:$AB96))</f>
        <v>#VALUE!</v>
      </c>
    </row>
    <row r="97" spans="1:29" x14ac:dyDescent="0.45">
      <c r="A97" s="3" t="e">
        <f>IF(OR($A96="",AND(Inputs!$B$31&lt;&gt;"",EOMONTH($A96,1)&gt;Inputs!$B$31)),"",EOMONTH($A96,1))</f>
        <v>#VALUE!</v>
      </c>
      <c r="B97" s="5"/>
      <c r="C97" s="4"/>
      <c r="D97" s="5"/>
      <c r="E97" s="8" t="e">
        <f>IF($A97="","",MAX(0,(1-(IF($D97="",Inputs!$B$21,$D97)))*IF($A97&lt;=DATE(2026,7,31),9,IF($A97&lt;=DATE(2027,7,31),7.5,6))))</f>
        <v>#VALUE!</v>
      </c>
      <c r="F97" s="4" t="e">
        <f>IF($A97="","",(IF($C97="",Inputs!$B$22,$C97))*$E97)</f>
        <v>#VALUE!</v>
      </c>
      <c r="G97" s="4" t="e">
        <f>IF($A97="","",Inputs!$B$4+IF(AND(Inputs!$B$6&lt;&gt;"",$A97&gt;=EOMONTH(Inputs!$B$6,0)),Inputs!$B$5,0))</f>
        <v>#VALUE!</v>
      </c>
      <c r="H97" s="4" t="e">
        <f t="shared" si="29"/>
        <v>#VALUE!</v>
      </c>
      <c r="I97" s="4"/>
      <c r="J97" s="4"/>
      <c r="K97" s="4" t="e">
        <f t="shared" si="21"/>
        <v>#VALUE!</v>
      </c>
      <c r="L97" s="5" t="e">
        <f>IF($A97="","",MAX(Inputs!$B$14,(IF($B97="",Inputs!$B$20,$B97)+Inputs!$B$12)))</f>
        <v>#VALUE!</v>
      </c>
      <c r="M97" s="4" t="e">
        <f t="shared" si="22"/>
        <v>#VALUE!</v>
      </c>
      <c r="N97" s="4" t="e">
        <f t="shared" si="23"/>
        <v>#VALUE!</v>
      </c>
      <c r="O97" s="4" t="e">
        <f>IF($A97="","",$N97*Inputs!$B$15/12)</f>
        <v>#VALUE!</v>
      </c>
      <c r="P97" s="4" t="e">
        <f>IF($A97="","",SUM(IF($A97=EOMONTH(Inputs!$B$3,0),Inputs!$B$4*Inputs!$B$16,0),IF(Inputs!$B$3="",0,IF($A97=EOMONTH(Inputs!$B$3,12),Inputs!$B$4*Inputs!$B$16,0)),IF(Inputs!$B$3="",0,IF($A97=EOMONTH(Inputs!$B$3,24),Inputs!$B$4*Inputs!$B$16,0))))</f>
        <v>#VALUE!</v>
      </c>
      <c r="Q97" s="4" t="e">
        <f>IF($A97="","",IF(AND(Inputs!$B$18&lt;&gt;"",$A97=EOMONTH(Inputs!$B$18,0),Inputs!$B$18&lt;=Inputs!$B$23),Inputs!$B$4*Inputs!$B$17,0))</f>
        <v>#VALUE!</v>
      </c>
      <c r="R97" s="4" t="e">
        <f t="shared" si="30"/>
        <v>#VALUE!</v>
      </c>
      <c r="S97" s="4"/>
      <c r="T97" s="4" t="e">
        <f>IF($A97="","",IF(OR(Inputs!$B$27="",Inputs!$B$28=""),0,IF($A97&lt;Inputs!$B$27,0,IF($A97&gt;Inputs!$B$29,0,$R97/MAX(1,Inputs!$B$28-DATEDIF(Inputs!$B$27,$A97,"m"))))))</f>
        <v>#VALUE!</v>
      </c>
      <c r="U97" s="4"/>
      <c r="V97" s="4" t="e">
        <f t="shared" si="24"/>
        <v>#VALUE!</v>
      </c>
      <c r="W97" s="5" t="e">
        <f>IF($A97="","",MAX(Inputs!$B$14,(IF($B97="",Inputs!$B$20,$B97)+Inputs!$B$13)))</f>
        <v>#VALUE!</v>
      </c>
      <c r="X97" s="4" t="e">
        <f t="shared" si="25"/>
        <v>#VALUE!</v>
      </c>
      <c r="Y97" s="4" t="e">
        <f>IF($A97="","",IF(AND(IF($U97="",0,$U97)&gt;0,Inputs!$B$24&lt;&gt;"",$A97&lt;=EOMONTH(Inputs!$B$24,0)),IF($U97="",0,$U97)*Inputs!$B$19,0))</f>
        <v>#VALUE!</v>
      </c>
      <c r="Z97" s="4" t="e">
        <f t="shared" si="26"/>
        <v>#VALUE!</v>
      </c>
      <c r="AA97" s="4" t="e">
        <f t="shared" si="27"/>
        <v>#VALUE!</v>
      </c>
      <c r="AB97" s="4" t="e">
        <f t="shared" si="28"/>
        <v>#VALUE!</v>
      </c>
      <c r="AC97" s="4" t="e">
        <f>IF($A97="","",SUM($AB$2:$AB97))</f>
        <v>#VALUE!</v>
      </c>
    </row>
    <row r="98" spans="1:29" x14ac:dyDescent="0.45">
      <c r="A98" s="3" t="e">
        <f>IF(OR($A97="",AND(Inputs!$B$31&lt;&gt;"",EOMONTH($A97,1)&gt;Inputs!$B$31)),"",EOMONTH($A97,1))</f>
        <v>#VALUE!</v>
      </c>
      <c r="B98" s="5"/>
      <c r="C98" s="4"/>
      <c r="D98" s="5"/>
      <c r="E98" s="8" t="e">
        <f>IF($A98="","",MAX(0,(1-(IF($D98="",Inputs!$B$21,$D98)))*IF($A98&lt;=DATE(2026,7,31),9,IF($A98&lt;=DATE(2027,7,31),7.5,6))))</f>
        <v>#VALUE!</v>
      </c>
      <c r="F98" s="4" t="e">
        <f>IF($A98="","",(IF($C98="",Inputs!$B$22,$C98))*$E98)</f>
        <v>#VALUE!</v>
      </c>
      <c r="G98" s="4" t="e">
        <f>IF($A98="","",Inputs!$B$4+IF(AND(Inputs!$B$6&lt;&gt;"",$A98&gt;=EOMONTH(Inputs!$B$6,0)),Inputs!$B$5,0))</f>
        <v>#VALUE!</v>
      </c>
      <c r="H98" s="4" t="e">
        <f t="shared" si="29"/>
        <v>#VALUE!</v>
      </c>
      <c r="I98" s="4"/>
      <c r="J98" s="4"/>
      <c r="K98" s="4" t="e">
        <f t="shared" ref="K98:K121" si="31">IF($A98="","",MAX(0,MIN($H98+IF($I98="",0,$I98)-IF($J98="",0,$J98),MIN($G98,$F98))))</f>
        <v>#VALUE!</v>
      </c>
      <c r="L98" s="5" t="e">
        <f>IF($A98="","",MAX(Inputs!$B$14,(IF($B98="",Inputs!$B$20,$B98)+Inputs!$B$12)))</f>
        <v>#VALUE!</v>
      </c>
      <c r="M98" s="4" t="e">
        <f t="shared" ref="M98:M121" si="32">IF($A98="","",(($H98+$K98)/2)*$L98/12)</f>
        <v>#VALUE!</v>
      </c>
      <c r="N98" s="4" t="e">
        <f t="shared" ref="N98:N121" si="33">IF($A98="","",MAX(0,$G98-$K98))</f>
        <v>#VALUE!</v>
      </c>
      <c r="O98" s="4" t="e">
        <f>IF($A98="","",$N98*Inputs!$B$15/12)</f>
        <v>#VALUE!</v>
      </c>
      <c r="P98" s="4" t="e">
        <f>IF($A98="","",SUM(IF($A98=EOMONTH(Inputs!$B$3,0),Inputs!$B$4*Inputs!$B$16,0),IF(Inputs!$B$3="",0,IF($A98=EOMONTH(Inputs!$B$3,12),Inputs!$B$4*Inputs!$B$16,0)),IF(Inputs!$B$3="",0,IF($A98=EOMONTH(Inputs!$B$3,24),Inputs!$B$4*Inputs!$B$16,0))))</f>
        <v>#VALUE!</v>
      </c>
      <c r="Q98" s="4" t="e">
        <f>IF($A98="","",IF(AND(Inputs!$B$18&lt;&gt;"",$A98=EOMONTH(Inputs!$B$18,0),Inputs!$B$18&lt;=Inputs!$B$23),Inputs!$B$4*Inputs!$B$17,0))</f>
        <v>#VALUE!</v>
      </c>
      <c r="R98" s="4" t="e">
        <f t="shared" si="30"/>
        <v>#VALUE!</v>
      </c>
      <c r="S98" s="4"/>
      <c r="T98" s="4" t="e">
        <f>IF($A98="","",IF(OR(Inputs!$B$27="",Inputs!$B$28=""),0,IF($A98&lt;Inputs!$B$27,0,IF($A98&gt;Inputs!$B$29,0,$R98/MAX(1,Inputs!$B$28-DATEDIF(Inputs!$B$27,$A98,"m"))))))</f>
        <v>#VALUE!</v>
      </c>
      <c r="U98" s="4"/>
      <c r="V98" s="4" t="e">
        <f t="shared" ref="V98:V121" si="34">IF($A98="","",MAX(0,$R98+IF($S98="",0,$S98)-$T98-IF($U98="",0,$U98)))</f>
        <v>#VALUE!</v>
      </c>
      <c r="W98" s="5" t="e">
        <f>IF($A98="","",MAX(Inputs!$B$14,(IF($B98="",Inputs!$B$20,$B98)+Inputs!$B$13)))</f>
        <v>#VALUE!</v>
      </c>
      <c r="X98" s="4" t="e">
        <f t="shared" ref="X98:X121" si="35">IF($A98="","",(($R98+$V98)/2)*$W98/12)</f>
        <v>#VALUE!</v>
      </c>
      <c r="Y98" s="4" t="e">
        <f>IF($A98="","",IF(AND(IF($U98="",0,$U98)&gt;0,Inputs!$B$24&lt;&gt;"",$A98&lt;=EOMONTH(Inputs!$B$24,0)),IF($U98="",0,$U98)*Inputs!$B$19,0))</f>
        <v>#VALUE!</v>
      </c>
      <c r="Z98" s="4" t="e">
        <f t="shared" ref="Z98:Z121" si="36">IF($A98="","",IF($I98="",0,$I98)+IF($S98="",0,$S98))</f>
        <v>#VALUE!</v>
      </c>
      <c r="AA98" s="4" t="e">
        <f t="shared" ref="AA98:AA121" si="37">IF($A98="","",IF($J98="",0,$J98)+$M98+$O98+$P98+$Q98+$T98+IF($U98="",0,$U98)+$X98+$Y98)</f>
        <v>#VALUE!</v>
      </c>
      <c r="AB98" s="4" t="e">
        <f t="shared" ref="AB98:AB121" si="38">IF($A98="","",$Z98-$AA98)</f>
        <v>#VALUE!</v>
      </c>
      <c r="AC98" s="4" t="e">
        <f>IF($A98="","",SUM($AB$2:$AB98))</f>
        <v>#VALUE!</v>
      </c>
    </row>
    <row r="99" spans="1:29" x14ac:dyDescent="0.45">
      <c r="A99" s="3" t="e">
        <f>IF(OR($A98="",AND(Inputs!$B$31&lt;&gt;"",EOMONTH($A98,1)&gt;Inputs!$B$31)),"",EOMONTH($A98,1))</f>
        <v>#VALUE!</v>
      </c>
      <c r="B99" s="5"/>
      <c r="C99" s="4"/>
      <c r="D99" s="5"/>
      <c r="E99" s="8" t="e">
        <f>IF($A99="","",MAX(0,(1-(IF($D99="",Inputs!$B$21,$D99)))*IF($A99&lt;=DATE(2026,7,31),9,IF($A99&lt;=DATE(2027,7,31),7.5,6))))</f>
        <v>#VALUE!</v>
      </c>
      <c r="F99" s="4" t="e">
        <f>IF($A99="","",(IF($C99="",Inputs!$B$22,$C99))*$E99)</f>
        <v>#VALUE!</v>
      </c>
      <c r="G99" s="4" t="e">
        <f>IF($A99="","",Inputs!$B$4+IF(AND(Inputs!$B$6&lt;&gt;"",$A99&gt;=EOMONTH(Inputs!$B$6,0)),Inputs!$B$5,0))</f>
        <v>#VALUE!</v>
      </c>
      <c r="H99" s="4" t="e">
        <f t="shared" ref="H99:H121" si="39">IF($A99="","",IF($A98="",0,$K98))</f>
        <v>#VALUE!</v>
      </c>
      <c r="I99" s="4"/>
      <c r="J99" s="4"/>
      <c r="K99" s="4" t="e">
        <f t="shared" si="31"/>
        <v>#VALUE!</v>
      </c>
      <c r="L99" s="5" t="e">
        <f>IF($A99="","",MAX(Inputs!$B$14,(IF($B99="",Inputs!$B$20,$B99)+Inputs!$B$12)))</f>
        <v>#VALUE!</v>
      </c>
      <c r="M99" s="4" t="e">
        <f t="shared" si="32"/>
        <v>#VALUE!</v>
      </c>
      <c r="N99" s="4" t="e">
        <f t="shared" si="33"/>
        <v>#VALUE!</v>
      </c>
      <c r="O99" s="4" t="e">
        <f>IF($A99="","",$N99*Inputs!$B$15/12)</f>
        <v>#VALUE!</v>
      </c>
      <c r="P99" s="4" t="e">
        <f>IF($A99="","",SUM(IF($A99=EOMONTH(Inputs!$B$3,0),Inputs!$B$4*Inputs!$B$16,0),IF(Inputs!$B$3="",0,IF($A99=EOMONTH(Inputs!$B$3,12),Inputs!$B$4*Inputs!$B$16,0)),IF(Inputs!$B$3="",0,IF($A99=EOMONTH(Inputs!$B$3,24),Inputs!$B$4*Inputs!$B$16,0))))</f>
        <v>#VALUE!</v>
      </c>
      <c r="Q99" s="4" t="e">
        <f>IF($A99="","",IF(AND(Inputs!$B$18&lt;&gt;"",$A99=EOMONTH(Inputs!$B$18,0),Inputs!$B$18&lt;=Inputs!$B$23),Inputs!$B$4*Inputs!$B$17,0))</f>
        <v>#VALUE!</v>
      </c>
      <c r="R99" s="4" t="e">
        <f t="shared" ref="R99:R121" si="40">IF($A99="","",IF($A98="",0,$V98))</f>
        <v>#VALUE!</v>
      </c>
      <c r="S99" s="4"/>
      <c r="T99" s="4" t="e">
        <f>IF($A99="","",IF(OR(Inputs!$B$27="",Inputs!$B$28=""),0,IF($A99&lt;Inputs!$B$27,0,IF($A99&gt;Inputs!$B$29,0,$R99/MAX(1,Inputs!$B$28-DATEDIF(Inputs!$B$27,$A99,"m"))))))</f>
        <v>#VALUE!</v>
      </c>
      <c r="U99" s="4"/>
      <c r="V99" s="4" t="e">
        <f t="shared" si="34"/>
        <v>#VALUE!</v>
      </c>
      <c r="W99" s="5" t="e">
        <f>IF($A99="","",MAX(Inputs!$B$14,(IF($B99="",Inputs!$B$20,$B99)+Inputs!$B$13)))</f>
        <v>#VALUE!</v>
      </c>
      <c r="X99" s="4" t="e">
        <f t="shared" si="35"/>
        <v>#VALUE!</v>
      </c>
      <c r="Y99" s="4" t="e">
        <f>IF($A99="","",IF(AND(IF($U99="",0,$U99)&gt;0,Inputs!$B$24&lt;&gt;"",$A99&lt;=EOMONTH(Inputs!$B$24,0)),IF($U99="",0,$U99)*Inputs!$B$19,0))</f>
        <v>#VALUE!</v>
      </c>
      <c r="Z99" s="4" t="e">
        <f t="shared" si="36"/>
        <v>#VALUE!</v>
      </c>
      <c r="AA99" s="4" t="e">
        <f t="shared" si="37"/>
        <v>#VALUE!</v>
      </c>
      <c r="AB99" s="4" t="e">
        <f t="shared" si="38"/>
        <v>#VALUE!</v>
      </c>
      <c r="AC99" s="4" t="e">
        <f>IF($A99="","",SUM($AB$2:$AB99))</f>
        <v>#VALUE!</v>
      </c>
    </row>
    <row r="100" spans="1:29" x14ac:dyDescent="0.45">
      <c r="A100" s="3" t="e">
        <f>IF(OR($A99="",AND(Inputs!$B$31&lt;&gt;"",EOMONTH($A99,1)&gt;Inputs!$B$31)),"",EOMONTH($A99,1))</f>
        <v>#VALUE!</v>
      </c>
      <c r="B100" s="5"/>
      <c r="C100" s="4"/>
      <c r="D100" s="5"/>
      <c r="E100" s="8" t="e">
        <f>IF($A100="","",MAX(0,(1-(IF($D100="",Inputs!$B$21,$D100)))*IF($A100&lt;=DATE(2026,7,31),9,IF($A100&lt;=DATE(2027,7,31),7.5,6))))</f>
        <v>#VALUE!</v>
      </c>
      <c r="F100" s="4" t="e">
        <f>IF($A100="","",(IF($C100="",Inputs!$B$22,$C100))*$E100)</f>
        <v>#VALUE!</v>
      </c>
      <c r="G100" s="4" t="e">
        <f>IF($A100="","",Inputs!$B$4+IF(AND(Inputs!$B$6&lt;&gt;"",$A100&gt;=EOMONTH(Inputs!$B$6,0)),Inputs!$B$5,0))</f>
        <v>#VALUE!</v>
      </c>
      <c r="H100" s="4" t="e">
        <f t="shared" si="39"/>
        <v>#VALUE!</v>
      </c>
      <c r="I100" s="4"/>
      <c r="J100" s="4"/>
      <c r="K100" s="4" t="e">
        <f t="shared" si="31"/>
        <v>#VALUE!</v>
      </c>
      <c r="L100" s="5" t="e">
        <f>IF($A100="","",MAX(Inputs!$B$14,(IF($B100="",Inputs!$B$20,$B100)+Inputs!$B$12)))</f>
        <v>#VALUE!</v>
      </c>
      <c r="M100" s="4" t="e">
        <f t="shared" si="32"/>
        <v>#VALUE!</v>
      </c>
      <c r="N100" s="4" t="e">
        <f t="shared" si="33"/>
        <v>#VALUE!</v>
      </c>
      <c r="O100" s="4" t="e">
        <f>IF($A100="","",$N100*Inputs!$B$15/12)</f>
        <v>#VALUE!</v>
      </c>
      <c r="P100" s="4" t="e">
        <f>IF($A100="","",SUM(IF($A100=EOMONTH(Inputs!$B$3,0),Inputs!$B$4*Inputs!$B$16,0),IF(Inputs!$B$3="",0,IF($A100=EOMONTH(Inputs!$B$3,12),Inputs!$B$4*Inputs!$B$16,0)),IF(Inputs!$B$3="",0,IF($A100=EOMONTH(Inputs!$B$3,24),Inputs!$B$4*Inputs!$B$16,0))))</f>
        <v>#VALUE!</v>
      </c>
      <c r="Q100" s="4" t="e">
        <f>IF($A100="","",IF(AND(Inputs!$B$18&lt;&gt;"",$A100=EOMONTH(Inputs!$B$18,0),Inputs!$B$18&lt;=Inputs!$B$23),Inputs!$B$4*Inputs!$B$17,0))</f>
        <v>#VALUE!</v>
      </c>
      <c r="R100" s="4" t="e">
        <f t="shared" si="40"/>
        <v>#VALUE!</v>
      </c>
      <c r="S100" s="4"/>
      <c r="T100" s="4" t="e">
        <f>IF($A100="","",IF(OR(Inputs!$B$27="",Inputs!$B$28=""),0,IF($A100&lt;Inputs!$B$27,0,IF($A100&gt;Inputs!$B$29,0,$R100/MAX(1,Inputs!$B$28-DATEDIF(Inputs!$B$27,$A100,"m"))))))</f>
        <v>#VALUE!</v>
      </c>
      <c r="U100" s="4"/>
      <c r="V100" s="4" t="e">
        <f t="shared" si="34"/>
        <v>#VALUE!</v>
      </c>
      <c r="W100" s="5" t="e">
        <f>IF($A100="","",MAX(Inputs!$B$14,(IF($B100="",Inputs!$B$20,$B100)+Inputs!$B$13)))</f>
        <v>#VALUE!</v>
      </c>
      <c r="X100" s="4" t="e">
        <f t="shared" si="35"/>
        <v>#VALUE!</v>
      </c>
      <c r="Y100" s="4" t="e">
        <f>IF($A100="","",IF(AND(IF($U100="",0,$U100)&gt;0,Inputs!$B$24&lt;&gt;"",$A100&lt;=EOMONTH(Inputs!$B$24,0)),IF($U100="",0,$U100)*Inputs!$B$19,0))</f>
        <v>#VALUE!</v>
      </c>
      <c r="Z100" s="4" t="e">
        <f t="shared" si="36"/>
        <v>#VALUE!</v>
      </c>
      <c r="AA100" s="4" t="e">
        <f t="shared" si="37"/>
        <v>#VALUE!</v>
      </c>
      <c r="AB100" s="4" t="e">
        <f t="shared" si="38"/>
        <v>#VALUE!</v>
      </c>
      <c r="AC100" s="4" t="e">
        <f>IF($A100="","",SUM($AB$2:$AB100))</f>
        <v>#VALUE!</v>
      </c>
    </row>
    <row r="101" spans="1:29" x14ac:dyDescent="0.45">
      <c r="A101" s="3" t="e">
        <f>IF(OR($A100="",AND(Inputs!$B$31&lt;&gt;"",EOMONTH($A100,1)&gt;Inputs!$B$31)),"",EOMONTH($A100,1))</f>
        <v>#VALUE!</v>
      </c>
      <c r="B101" s="5"/>
      <c r="C101" s="4"/>
      <c r="D101" s="5"/>
      <c r="E101" s="8" t="e">
        <f>IF($A101="","",MAX(0,(1-(IF($D101="",Inputs!$B$21,$D101)))*IF($A101&lt;=DATE(2026,7,31),9,IF($A101&lt;=DATE(2027,7,31),7.5,6))))</f>
        <v>#VALUE!</v>
      </c>
      <c r="F101" s="4" t="e">
        <f>IF($A101="","",(IF($C101="",Inputs!$B$22,$C101))*$E101)</f>
        <v>#VALUE!</v>
      </c>
      <c r="G101" s="4" t="e">
        <f>IF($A101="","",Inputs!$B$4+IF(AND(Inputs!$B$6&lt;&gt;"",$A101&gt;=EOMONTH(Inputs!$B$6,0)),Inputs!$B$5,0))</f>
        <v>#VALUE!</v>
      </c>
      <c r="H101" s="4" t="e">
        <f t="shared" si="39"/>
        <v>#VALUE!</v>
      </c>
      <c r="I101" s="4"/>
      <c r="J101" s="4"/>
      <c r="K101" s="4" t="e">
        <f t="shared" si="31"/>
        <v>#VALUE!</v>
      </c>
      <c r="L101" s="5" t="e">
        <f>IF($A101="","",MAX(Inputs!$B$14,(IF($B101="",Inputs!$B$20,$B101)+Inputs!$B$12)))</f>
        <v>#VALUE!</v>
      </c>
      <c r="M101" s="4" t="e">
        <f t="shared" si="32"/>
        <v>#VALUE!</v>
      </c>
      <c r="N101" s="4" t="e">
        <f t="shared" si="33"/>
        <v>#VALUE!</v>
      </c>
      <c r="O101" s="4" t="e">
        <f>IF($A101="","",$N101*Inputs!$B$15/12)</f>
        <v>#VALUE!</v>
      </c>
      <c r="P101" s="4" t="e">
        <f>IF($A101="","",SUM(IF($A101=EOMONTH(Inputs!$B$3,0),Inputs!$B$4*Inputs!$B$16,0),IF(Inputs!$B$3="",0,IF($A101=EOMONTH(Inputs!$B$3,12),Inputs!$B$4*Inputs!$B$16,0)),IF(Inputs!$B$3="",0,IF($A101=EOMONTH(Inputs!$B$3,24),Inputs!$B$4*Inputs!$B$16,0))))</f>
        <v>#VALUE!</v>
      </c>
      <c r="Q101" s="4" t="e">
        <f>IF($A101="","",IF(AND(Inputs!$B$18&lt;&gt;"",$A101=EOMONTH(Inputs!$B$18,0),Inputs!$B$18&lt;=Inputs!$B$23),Inputs!$B$4*Inputs!$B$17,0))</f>
        <v>#VALUE!</v>
      </c>
      <c r="R101" s="4" t="e">
        <f t="shared" si="40"/>
        <v>#VALUE!</v>
      </c>
      <c r="S101" s="4"/>
      <c r="T101" s="4" t="e">
        <f>IF($A101="","",IF(OR(Inputs!$B$27="",Inputs!$B$28=""),0,IF($A101&lt;Inputs!$B$27,0,IF($A101&gt;Inputs!$B$29,0,$R101/MAX(1,Inputs!$B$28-DATEDIF(Inputs!$B$27,$A101,"m"))))))</f>
        <v>#VALUE!</v>
      </c>
      <c r="U101" s="4"/>
      <c r="V101" s="4" t="e">
        <f t="shared" si="34"/>
        <v>#VALUE!</v>
      </c>
      <c r="W101" s="5" t="e">
        <f>IF($A101="","",MAX(Inputs!$B$14,(IF($B101="",Inputs!$B$20,$B101)+Inputs!$B$13)))</f>
        <v>#VALUE!</v>
      </c>
      <c r="X101" s="4" t="e">
        <f t="shared" si="35"/>
        <v>#VALUE!</v>
      </c>
      <c r="Y101" s="4" t="e">
        <f>IF($A101="","",IF(AND(IF($U101="",0,$U101)&gt;0,Inputs!$B$24&lt;&gt;"",$A101&lt;=EOMONTH(Inputs!$B$24,0)),IF($U101="",0,$U101)*Inputs!$B$19,0))</f>
        <v>#VALUE!</v>
      </c>
      <c r="Z101" s="4" t="e">
        <f t="shared" si="36"/>
        <v>#VALUE!</v>
      </c>
      <c r="AA101" s="4" t="e">
        <f t="shared" si="37"/>
        <v>#VALUE!</v>
      </c>
      <c r="AB101" s="4" t="e">
        <f t="shared" si="38"/>
        <v>#VALUE!</v>
      </c>
      <c r="AC101" s="4" t="e">
        <f>IF($A101="","",SUM($AB$2:$AB101))</f>
        <v>#VALUE!</v>
      </c>
    </row>
    <row r="102" spans="1:29" x14ac:dyDescent="0.45">
      <c r="A102" s="3" t="e">
        <f>IF(OR($A101="",AND(Inputs!$B$31&lt;&gt;"",EOMONTH($A101,1)&gt;Inputs!$B$31)),"",EOMONTH($A101,1))</f>
        <v>#VALUE!</v>
      </c>
      <c r="B102" s="5"/>
      <c r="C102" s="4"/>
      <c r="D102" s="5"/>
      <c r="E102" s="8" t="e">
        <f>IF($A102="","",MAX(0,(1-(IF($D102="",Inputs!$B$21,$D102)))*IF($A102&lt;=DATE(2026,7,31),9,IF($A102&lt;=DATE(2027,7,31),7.5,6))))</f>
        <v>#VALUE!</v>
      </c>
      <c r="F102" s="4" t="e">
        <f>IF($A102="","",(IF($C102="",Inputs!$B$22,$C102))*$E102)</f>
        <v>#VALUE!</v>
      </c>
      <c r="G102" s="4" t="e">
        <f>IF($A102="","",Inputs!$B$4+IF(AND(Inputs!$B$6&lt;&gt;"",$A102&gt;=EOMONTH(Inputs!$B$6,0)),Inputs!$B$5,0))</f>
        <v>#VALUE!</v>
      </c>
      <c r="H102" s="4" t="e">
        <f t="shared" si="39"/>
        <v>#VALUE!</v>
      </c>
      <c r="I102" s="4"/>
      <c r="J102" s="4"/>
      <c r="K102" s="4" t="e">
        <f t="shared" si="31"/>
        <v>#VALUE!</v>
      </c>
      <c r="L102" s="5" t="e">
        <f>IF($A102="","",MAX(Inputs!$B$14,(IF($B102="",Inputs!$B$20,$B102)+Inputs!$B$12)))</f>
        <v>#VALUE!</v>
      </c>
      <c r="M102" s="4" t="e">
        <f t="shared" si="32"/>
        <v>#VALUE!</v>
      </c>
      <c r="N102" s="4" t="e">
        <f t="shared" si="33"/>
        <v>#VALUE!</v>
      </c>
      <c r="O102" s="4" t="e">
        <f>IF($A102="","",$N102*Inputs!$B$15/12)</f>
        <v>#VALUE!</v>
      </c>
      <c r="P102" s="4" t="e">
        <f>IF($A102="","",SUM(IF($A102=EOMONTH(Inputs!$B$3,0),Inputs!$B$4*Inputs!$B$16,0),IF(Inputs!$B$3="",0,IF($A102=EOMONTH(Inputs!$B$3,12),Inputs!$B$4*Inputs!$B$16,0)),IF(Inputs!$B$3="",0,IF($A102=EOMONTH(Inputs!$B$3,24),Inputs!$B$4*Inputs!$B$16,0))))</f>
        <v>#VALUE!</v>
      </c>
      <c r="Q102" s="4" t="e">
        <f>IF($A102="","",IF(AND(Inputs!$B$18&lt;&gt;"",$A102=EOMONTH(Inputs!$B$18,0),Inputs!$B$18&lt;=Inputs!$B$23),Inputs!$B$4*Inputs!$B$17,0))</f>
        <v>#VALUE!</v>
      </c>
      <c r="R102" s="4" t="e">
        <f t="shared" si="40"/>
        <v>#VALUE!</v>
      </c>
      <c r="S102" s="4"/>
      <c r="T102" s="4" t="e">
        <f>IF($A102="","",IF(OR(Inputs!$B$27="",Inputs!$B$28=""),0,IF($A102&lt;Inputs!$B$27,0,IF($A102&gt;Inputs!$B$29,0,$R102/MAX(1,Inputs!$B$28-DATEDIF(Inputs!$B$27,$A102,"m"))))))</f>
        <v>#VALUE!</v>
      </c>
      <c r="U102" s="4"/>
      <c r="V102" s="4" t="e">
        <f t="shared" si="34"/>
        <v>#VALUE!</v>
      </c>
      <c r="W102" s="5" t="e">
        <f>IF($A102="","",MAX(Inputs!$B$14,(IF($B102="",Inputs!$B$20,$B102)+Inputs!$B$13)))</f>
        <v>#VALUE!</v>
      </c>
      <c r="X102" s="4" t="e">
        <f t="shared" si="35"/>
        <v>#VALUE!</v>
      </c>
      <c r="Y102" s="4" t="e">
        <f>IF($A102="","",IF(AND(IF($U102="",0,$U102)&gt;0,Inputs!$B$24&lt;&gt;"",$A102&lt;=EOMONTH(Inputs!$B$24,0)),IF($U102="",0,$U102)*Inputs!$B$19,0))</f>
        <v>#VALUE!</v>
      </c>
      <c r="Z102" s="4" t="e">
        <f t="shared" si="36"/>
        <v>#VALUE!</v>
      </c>
      <c r="AA102" s="4" t="e">
        <f t="shared" si="37"/>
        <v>#VALUE!</v>
      </c>
      <c r="AB102" s="4" t="e">
        <f t="shared" si="38"/>
        <v>#VALUE!</v>
      </c>
      <c r="AC102" s="4" t="e">
        <f>IF($A102="","",SUM($AB$2:$AB102))</f>
        <v>#VALUE!</v>
      </c>
    </row>
    <row r="103" spans="1:29" x14ac:dyDescent="0.45">
      <c r="A103" s="3" t="e">
        <f>IF(OR($A102="",AND(Inputs!$B$31&lt;&gt;"",EOMONTH($A102,1)&gt;Inputs!$B$31)),"",EOMONTH($A102,1))</f>
        <v>#VALUE!</v>
      </c>
      <c r="B103" s="5"/>
      <c r="C103" s="4"/>
      <c r="D103" s="5"/>
      <c r="E103" s="8" t="e">
        <f>IF($A103="","",MAX(0,(1-(IF($D103="",Inputs!$B$21,$D103)))*IF($A103&lt;=DATE(2026,7,31),9,IF($A103&lt;=DATE(2027,7,31),7.5,6))))</f>
        <v>#VALUE!</v>
      </c>
      <c r="F103" s="4" t="e">
        <f>IF($A103="","",(IF($C103="",Inputs!$B$22,$C103))*$E103)</f>
        <v>#VALUE!</v>
      </c>
      <c r="G103" s="4" t="e">
        <f>IF($A103="","",Inputs!$B$4+IF(AND(Inputs!$B$6&lt;&gt;"",$A103&gt;=EOMONTH(Inputs!$B$6,0)),Inputs!$B$5,0))</f>
        <v>#VALUE!</v>
      </c>
      <c r="H103" s="4" t="e">
        <f t="shared" si="39"/>
        <v>#VALUE!</v>
      </c>
      <c r="I103" s="4"/>
      <c r="J103" s="4"/>
      <c r="K103" s="4" t="e">
        <f t="shared" si="31"/>
        <v>#VALUE!</v>
      </c>
      <c r="L103" s="5" t="e">
        <f>IF($A103="","",MAX(Inputs!$B$14,(IF($B103="",Inputs!$B$20,$B103)+Inputs!$B$12)))</f>
        <v>#VALUE!</v>
      </c>
      <c r="M103" s="4" t="e">
        <f t="shared" si="32"/>
        <v>#VALUE!</v>
      </c>
      <c r="N103" s="4" t="e">
        <f t="shared" si="33"/>
        <v>#VALUE!</v>
      </c>
      <c r="O103" s="4" t="e">
        <f>IF($A103="","",$N103*Inputs!$B$15/12)</f>
        <v>#VALUE!</v>
      </c>
      <c r="P103" s="4" t="e">
        <f>IF($A103="","",SUM(IF($A103=EOMONTH(Inputs!$B$3,0),Inputs!$B$4*Inputs!$B$16,0),IF(Inputs!$B$3="",0,IF($A103=EOMONTH(Inputs!$B$3,12),Inputs!$B$4*Inputs!$B$16,0)),IF(Inputs!$B$3="",0,IF($A103=EOMONTH(Inputs!$B$3,24),Inputs!$B$4*Inputs!$B$16,0))))</f>
        <v>#VALUE!</v>
      </c>
      <c r="Q103" s="4" t="e">
        <f>IF($A103="","",IF(AND(Inputs!$B$18&lt;&gt;"",$A103=EOMONTH(Inputs!$B$18,0),Inputs!$B$18&lt;=Inputs!$B$23),Inputs!$B$4*Inputs!$B$17,0))</f>
        <v>#VALUE!</v>
      </c>
      <c r="R103" s="4" t="e">
        <f t="shared" si="40"/>
        <v>#VALUE!</v>
      </c>
      <c r="S103" s="4"/>
      <c r="T103" s="4" t="e">
        <f>IF($A103="","",IF(OR(Inputs!$B$27="",Inputs!$B$28=""),0,IF($A103&lt;Inputs!$B$27,0,IF($A103&gt;Inputs!$B$29,0,$R103/MAX(1,Inputs!$B$28-DATEDIF(Inputs!$B$27,$A103,"m"))))))</f>
        <v>#VALUE!</v>
      </c>
      <c r="U103" s="4"/>
      <c r="V103" s="4" t="e">
        <f t="shared" si="34"/>
        <v>#VALUE!</v>
      </c>
      <c r="W103" s="5" t="e">
        <f>IF($A103="","",MAX(Inputs!$B$14,(IF($B103="",Inputs!$B$20,$B103)+Inputs!$B$13)))</f>
        <v>#VALUE!</v>
      </c>
      <c r="X103" s="4" t="e">
        <f t="shared" si="35"/>
        <v>#VALUE!</v>
      </c>
      <c r="Y103" s="4" t="e">
        <f>IF($A103="","",IF(AND(IF($U103="",0,$U103)&gt;0,Inputs!$B$24&lt;&gt;"",$A103&lt;=EOMONTH(Inputs!$B$24,0)),IF($U103="",0,$U103)*Inputs!$B$19,0))</f>
        <v>#VALUE!</v>
      </c>
      <c r="Z103" s="4" t="e">
        <f t="shared" si="36"/>
        <v>#VALUE!</v>
      </c>
      <c r="AA103" s="4" t="e">
        <f t="shared" si="37"/>
        <v>#VALUE!</v>
      </c>
      <c r="AB103" s="4" t="e">
        <f t="shared" si="38"/>
        <v>#VALUE!</v>
      </c>
      <c r="AC103" s="4" t="e">
        <f>IF($A103="","",SUM($AB$2:$AB103))</f>
        <v>#VALUE!</v>
      </c>
    </row>
    <row r="104" spans="1:29" x14ac:dyDescent="0.45">
      <c r="A104" s="3" t="e">
        <f>IF(OR($A103="",AND(Inputs!$B$31&lt;&gt;"",EOMONTH($A103,1)&gt;Inputs!$B$31)),"",EOMONTH($A103,1))</f>
        <v>#VALUE!</v>
      </c>
      <c r="B104" s="5"/>
      <c r="C104" s="4"/>
      <c r="D104" s="5"/>
      <c r="E104" s="8" t="e">
        <f>IF($A104="","",MAX(0,(1-(IF($D104="",Inputs!$B$21,$D104)))*IF($A104&lt;=DATE(2026,7,31),9,IF($A104&lt;=DATE(2027,7,31),7.5,6))))</f>
        <v>#VALUE!</v>
      </c>
      <c r="F104" s="4" t="e">
        <f>IF($A104="","",(IF($C104="",Inputs!$B$22,$C104))*$E104)</f>
        <v>#VALUE!</v>
      </c>
      <c r="G104" s="4" t="e">
        <f>IF($A104="","",Inputs!$B$4+IF(AND(Inputs!$B$6&lt;&gt;"",$A104&gt;=EOMONTH(Inputs!$B$6,0)),Inputs!$B$5,0))</f>
        <v>#VALUE!</v>
      </c>
      <c r="H104" s="4" t="e">
        <f t="shared" si="39"/>
        <v>#VALUE!</v>
      </c>
      <c r="I104" s="4"/>
      <c r="J104" s="4"/>
      <c r="K104" s="4" t="e">
        <f t="shared" si="31"/>
        <v>#VALUE!</v>
      </c>
      <c r="L104" s="5" t="e">
        <f>IF($A104="","",MAX(Inputs!$B$14,(IF($B104="",Inputs!$B$20,$B104)+Inputs!$B$12)))</f>
        <v>#VALUE!</v>
      </c>
      <c r="M104" s="4" t="e">
        <f t="shared" si="32"/>
        <v>#VALUE!</v>
      </c>
      <c r="N104" s="4" t="e">
        <f t="shared" si="33"/>
        <v>#VALUE!</v>
      </c>
      <c r="O104" s="4" t="e">
        <f>IF($A104="","",$N104*Inputs!$B$15/12)</f>
        <v>#VALUE!</v>
      </c>
      <c r="P104" s="4" t="e">
        <f>IF($A104="","",SUM(IF($A104=EOMONTH(Inputs!$B$3,0),Inputs!$B$4*Inputs!$B$16,0),IF(Inputs!$B$3="",0,IF($A104=EOMONTH(Inputs!$B$3,12),Inputs!$B$4*Inputs!$B$16,0)),IF(Inputs!$B$3="",0,IF($A104=EOMONTH(Inputs!$B$3,24),Inputs!$B$4*Inputs!$B$16,0))))</f>
        <v>#VALUE!</v>
      </c>
      <c r="Q104" s="4" t="e">
        <f>IF($A104="","",IF(AND(Inputs!$B$18&lt;&gt;"",$A104=EOMONTH(Inputs!$B$18,0),Inputs!$B$18&lt;=Inputs!$B$23),Inputs!$B$4*Inputs!$B$17,0))</f>
        <v>#VALUE!</v>
      </c>
      <c r="R104" s="4" t="e">
        <f t="shared" si="40"/>
        <v>#VALUE!</v>
      </c>
      <c r="S104" s="4"/>
      <c r="T104" s="4" t="e">
        <f>IF($A104="","",IF(OR(Inputs!$B$27="",Inputs!$B$28=""),0,IF($A104&lt;Inputs!$B$27,0,IF($A104&gt;Inputs!$B$29,0,$R104/MAX(1,Inputs!$B$28-DATEDIF(Inputs!$B$27,$A104,"m"))))))</f>
        <v>#VALUE!</v>
      </c>
      <c r="U104" s="4"/>
      <c r="V104" s="4" t="e">
        <f t="shared" si="34"/>
        <v>#VALUE!</v>
      </c>
      <c r="W104" s="5" t="e">
        <f>IF($A104="","",MAX(Inputs!$B$14,(IF($B104="",Inputs!$B$20,$B104)+Inputs!$B$13)))</f>
        <v>#VALUE!</v>
      </c>
      <c r="X104" s="4" t="e">
        <f t="shared" si="35"/>
        <v>#VALUE!</v>
      </c>
      <c r="Y104" s="4" t="e">
        <f>IF($A104="","",IF(AND(IF($U104="",0,$U104)&gt;0,Inputs!$B$24&lt;&gt;"",$A104&lt;=EOMONTH(Inputs!$B$24,0)),IF($U104="",0,$U104)*Inputs!$B$19,0))</f>
        <v>#VALUE!</v>
      </c>
      <c r="Z104" s="4" t="e">
        <f t="shared" si="36"/>
        <v>#VALUE!</v>
      </c>
      <c r="AA104" s="4" t="e">
        <f t="shared" si="37"/>
        <v>#VALUE!</v>
      </c>
      <c r="AB104" s="4" t="e">
        <f t="shared" si="38"/>
        <v>#VALUE!</v>
      </c>
      <c r="AC104" s="4" t="e">
        <f>IF($A104="","",SUM($AB$2:$AB104))</f>
        <v>#VALUE!</v>
      </c>
    </row>
    <row r="105" spans="1:29" x14ac:dyDescent="0.45">
      <c r="A105" s="3" t="e">
        <f>IF(OR($A104="",AND(Inputs!$B$31&lt;&gt;"",EOMONTH($A104,1)&gt;Inputs!$B$31)),"",EOMONTH($A104,1))</f>
        <v>#VALUE!</v>
      </c>
      <c r="B105" s="5"/>
      <c r="C105" s="4"/>
      <c r="D105" s="5"/>
      <c r="E105" s="8" t="e">
        <f>IF($A105="","",MAX(0,(1-(IF($D105="",Inputs!$B$21,$D105)))*IF($A105&lt;=DATE(2026,7,31),9,IF($A105&lt;=DATE(2027,7,31),7.5,6))))</f>
        <v>#VALUE!</v>
      </c>
      <c r="F105" s="4" t="e">
        <f>IF($A105="","",(IF($C105="",Inputs!$B$22,$C105))*$E105)</f>
        <v>#VALUE!</v>
      </c>
      <c r="G105" s="4" t="e">
        <f>IF($A105="","",Inputs!$B$4+IF(AND(Inputs!$B$6&lt;&gt;"",$A105&gt;=EOMONTH(Inputs!$B$6,0)),Inputs!$B$5,0))</f>
        <v>#VALUE!</v>
      </c>
      <c r="H105" s="4" t="e">
        <f t="shared" si="39"/>
        <v>#VALUE!</v>
      </c>
      <c r="I105" s="4"/>
      <c r="J105" s="4"/>
      <c r="K105" s="4" t="e">
        <f t="shared" si="31"/>
        <v>#VALUE!</v>
      </c>
      <c r="L105" s="5" t="e">
        <f>IF($A105="","",MAX(Inputs!$B$14,(IF($B105="",Inputs!$B$20,$B105)+Inputs!$B$12)))</f>
        <v>#VALUE!</v>
      </c>
      <c r="M105" s="4" t="e">
        <f t="shared" si="32"/>
        <v>#VALUE!</v>
      </c>
      <c r="N105" s="4" t="e">
        <f t="shared" si="33"/>
        <v>#VALUE!</v>
      </c>
      <c r="O105" s="4" t="e">
        <f>IF($A105="","",$N105*Inputs!$B$15/12)</f>
        <v>#VALUE!</v>
      </c>
      <c r="P105" s="4" t="e">
        <f>IF($A105="","",SUM(IF($A105=EOMONTH(Inputs!$B$3,0),Inputs!$B$4*Inputs!$B$16,0),IF(Inputs!$B$3="",0,IF($A105=EOMONTH(Inputs!$B$3,12),Inputs!$B$4*Inputs!$B$16,0)),IF(Inputs!$B$3="",0,IF($A105=EOMONTH(Inputs!$B$3,24),Inputs!$B$4*Inputs!$B$16,0))))</f>
        <v>#VALUE!</v>
      </c>
      <c r="Q105" s="4" t="e">
        <f>IF($A105="","",IF(AND(Inputs!$B$18&lt;&gt;"",$A105=EOMONTH(Inputs!$B$18,0),Inputs!$B$18&lt;=Inputs!$B$23),Inputs!$B$4*Inputs!$B$17,0))</f>
        <v>#VALUE!</v>
      </c>
      <c r="R105" s="4" t="e">
        <f t="shared" si="40"/>
        <v>#VALUE!</v>
      </c>
      <c r="S105" s="4"/>
      <c r="T105" s="4" t="e">
        <f>IF($A105="","",IF(OR(Inputs!$B$27="",Inputs!$B$28=""),0,IF($A105&lt;Inputs!$B$27,0,IF($A105&gt;Inputs!$B$29,0,$R105/MAX(1,Inputs!$B$28-DATEDIF(Inputs!$B$27,$A105,"m"))))))</f>
        <v>#VALUE!</v>
      </c>
      <c r="U105" s="4"/>
      <c r="V105" s="4" t="e">
        <f t="shared" si="34"/>
        <v>#VALUE!</v>
      </c>
      <c r="W105" s="5" t="e">
        <f>IF($A105="","",MAX(Inputs!$B$14,(IF($B105="",Inputs!$B$20,$B105)+Inputs!$B$13)))</f>
        <v>#VALUE!</v>
      </c>
      <c r="X105" s="4" t="e">
        <f t="shared" si="35"/>
        <v>#VALUE!</v>
      </c>
      <c r="Y105" s="4" t="e">
        <f>IF($A105="","",IF(AND(IF($U105="",0,$U105)&gt;0,Inputs!$B$24&lt;&gt;"",$A105&lt;=EOMONTH(Inputs!$B$24,0)),IF($U105="",0,$U105)*Inputs!$B$19,0))</f>
        <v>#VALUE!</v>
      </c>
      <c r="Z105" s="4" t="e">
        <f t="shared" si="36"/>
        <v>#VALUE!</v>
      </c>
      <c r="AA105" s="4" t="e">
        <f t="shared" si="37"/>
        <v>#VALUE!</v>
      </c>
      <c r="AB105" s="4" t="e">
        <f t="shared" si="38"/>
        <v>#VALUE!</v>
      </c>
      <c r="AC105" s="4" t="e">
        <f>IF($A105="","",SUM($AB$2:$AB105))</f>
        <v>#VALUE!</v>
      </c>
    </row>
    <row r="106" spans="1:29" x14ac:dyDescent="0.45">
      <c r="A106" s="3" t="e">
        <f>IF(OR($A105="",AND(Inputs!$B$31&lt;&gt;"",EOMONTH($A105,1)&gt;Inputs!$B$31)),"",EOMONTH($A105,1))</f>
        <v>#VALUE!</v>
      </c>
      <c r="B106" s="5"/>
      <c r="C106" s="4"/>
      <c r="D106" s="5"/>
      <c r="E106" s="8" t="e">
        <f>IF($A106="","",MAX(0,(1-(IF($D106="",Inputs!$B$21,$D106)))*IF($A106&lt;=DATE(2026,7,31),9,IF($A106&lt;=DATE(2027,7,31),7.5,6))))</f>
        <v>#VALUE!</v>
      </c>
      <c r="F106" s="4" t="e">
        <f>IF($A106="","",(IF($C106="",Inputs!$B$22,$C106))*$E106)</f>
        <v>#VALUE!</v>
      </c>
      <c r="G106" s="4" t="e">
        <f>IF($A106="","",Inputs!$B$4+IF(AND(Inputs!$B$6&lt;&gt;"",$A106&gt;=EOMONTH(Inputs!$B$6,0)),Inputs!$B$5,0))</f>
        <v>#VALUE!</v>
      </c>
      <c r="H106" s="4" t="e">
        <f t="shared" si="39"/>
        <v>#VALUE!</v>
      </c>
      <c r="I106" s="4"/>
      <c r="J106" s="4"/>
      <c r="K106" s="4" t="e">
        <f t="shared" si="31"/>
        <v>#VALUE!</v>
      </c>
      <c r="L106" s="5" t="e">
        <f>IF($A106="","",MAX(Inputs!$B$14,(IF($B106="",Inputs!$B$20,$B106)+Inputs!$B$12)))</f>
        <v>#VALUE!</v>
      </c>
      <c r="M106" s="4" t="e">
        <f t="shared" si="32"/>
        <v>#VALUE!</v>
      </c>
      <c r="N106" s="4" t="e">
        <f t="shared" si="33"/>
        <v>#VALUE!</v>
      </c>
      <c r="O106" s="4" t="e">
        <f>IF($A106="","",$N106*Inputs!$B$15/12)</f>
        <v>#VALUE!</v>
      </c>
      <c r="P106" s="4" t="e">
        <f>IF($A106="","",SUM(IF($A106=EOMONTH(Inputs!$B$3,0),Inputs!$B$4*Inputs!$B$16,0),IF(Inputs!$B$3="",0,IF($A106=EOMONTH(Inputs!$B$3,12),Inputs!$B$4*Inputs!$B$16,0)),IF(Inputs!$B$3="",0,IF($A106=EOMONTH(Inputs!$B$3,24),Inputs!$B$4*Inputs!$B$16,0))))</f>
        <v>#VALUE!</v>
      </c>
      <c r="Q106" s="4" t="e">
        <f>IF($A106="","",IF(AND(Inputs!$B$18&lt;&gt;"",$A106=EOMONTH(Inputs!$B$18,0),Inputs!$B$18&lt;=Inputs!$B$23),Inputs!$B$4*Inputs!$B$17,0))</f>
        <v>#VALUE!</v>
      </c>
      <c r="R106" s="4" t="e">
        <f t="shared" si="40"/>
        <v>#VALUE!</v>
      </c>
      <c r="S106" s="4"/>
      <c r="T106" s="4" t="e">
        <f>IF($A106="","",IF(OR(Inputs!$B$27="",Inputs!$B$28=""),0,IF($A106&lt;Inputs!$B$27,0,IF($A106&gt;Inputs!$B$29,0,$R106/MAX(1,Inputs!$B$28-DATEDIF(Inputs!$B$27,$A106,"m"))))))</f>
        <v>#VALUE!</v>
      </c>
      <c r="U106" s="4"/>
      <c r="V106" s="4" t="e">
        <f t="shared" si="34"/>
        <v>#VALUE!</v>
      </c>
      <c r="W106" s="5" t="e">
        <f>IF($A106="","",MAX(Inputs!$B$14,(IF($B106="",Inputs!$B$20,$B106)+Inputs!$B$13)))</f>
        <v>#VALUE!</v>
      </c>
      <c r="X106" s="4" t="e">
        <f t="shared" si="35"/>
        <v>#VALUE!</v>
      </c>
      <c r="Y106" s="4" t="e">
        <f>IF($A106="","",IF(AND(IF($U106="",0,$U106)&gt;0,Inputs!$B$24&lt;&gt;"",$A106&lt;=EOMONTH(Inputs!$B$24,0)),IF($U106="",0,$U106)*Inputs!$B$19,0))</f>
        <v>#VALUE!</v>
      </c>
      <c r="Z106" s="4" t="e">
        <f t="shared" si="36"/>
        <v>#VALUE!</v>
      </c>
      <c r="AA106" s="4" t="e">
        <f t="shared" si="37"/>
        <v>#VALUE!</v>
      </c>
      <c r="AB106" s="4" t="e">
        <f t="shared" si="38"/>
        <v>#VALUE!</v>
      </c>
      <c r="AC106" s="4" t="e">
        <f>IF($A106="","",SUM($AB$2:$AB106))</f>
        <v>#VALUE!</v>
      </c>
    </row>
    <row r="107" spans="1:29" x14ac:dyDescent="0.45">
      <c r="A107" s="3" t="e">
        <f>IF(OR($A106="",AND(Inputs!$B$31&lt;&gt;"",EOMONTH($A106,1)&gt;Inputs!$B$31)),"",EOMONTH($A106,1))</f>
        <v>#VALUE!</v>
      </c>
      <c r="B107" s="5"/>
      <c r="C107" s="4"/>
      <c r="D107" s="5"/>
      <c r="E107" s="8" t="e">
        <f>IF($A107="","",MAX(0,(1-(IF($D107="",Inputs!$B$21,$D107)))*IF($A107&lt;=DATE(2026,7,31),9,IF($A107&lt;=DATE(2027,7,31),7.5,6))))</f>
        <v>#VALUE!</v>
      </c>
      <c r="F107" s="4" t="e">
        <f>IF($A107="","",(IF($C107="",Inputs!$B$22,$C107))*$E107)</f>
        <v>#VALUE!</v>
      </c>
      <c r="G107" s="4" t="e">
        <f>IF($A107="","",Inputs!$B$4+IF(AND(Inputs!$B$6&lt;&gt;"",$A107&gt;=EOMONTH(Inputs!$B$6,0)),Inputs!$B$5,0))</f>
        <v>#VALUE!</v>
      </c>
      <c r="H107" s="4" t="e">
        <f t="shared" si="39"/>
        <v>#VALUE!</v>
      </c>
      <c r="I107" s="4"/>
      <c r="J107" s="4"/>
      <c r="K107" s="4" t="e">
        <f t="shared" si="31"/>
        <v>#VALUE!</v>
      </c>
      <c r="L107" s="5" t="e">
        <f>IF($A107="","",MAX(Inputs!$B$14,(IF($B107="",Inputs!$B$20,$B107)+Inputs!$B$12)))</f>
        <v>#VALUE!</v>
      </c>
      <c r="M107" s="4" t="e">
        <f t="shared" si="32"/>
        <v>#VALUE!</v>
      </c>
      <c r="N107" s="4" t="e">
        <f t="shared" si="33"/>
        <v>#VALUE!</v>
      </c>
      <c r="O107" s="4" t="e">
        <f>IF($A107="","",$N107*Inputs!$B$15/12)</f>
        <v>#VALUE!</v>
      </c>
      <c r="P107" s="4" t="e">
        <f>IF($A107="","",SUM(IF($A107=EOMONTH(Inputs!$B$3,0),Inputs!$B$4*Inputs!$B$16,0),IF(Inputs!$B$3="",0,IF($A107=EOMONTH(Inputs!$B$3,12),Inputs!$B$4*Inputs!$B$16,0)),IF(Inputs!$B$3="",0,IF($A107=EOMONTH(Inputs!$B$3,24),Inputs!$B$4*Inputs!$B$16,0))))</f>
        <v>#VALUE!</v>
      </c>
      <c r="Q107" s="4" t="e">
        <f>IF($A107="","",IF(AND(Inputs!$B$18&lt;&gt;"",$A107=EOMONTH(Inputs!$B$18,0),Inputs!$B$18&lt;=Inputs!$B$23),Inputs!$B$4*Inputs!$B$17,0))</f>
        <v>#VALUE!</v>
      </c>
      <c r="R107" s="4" t="e">
        <f t="shared" si="40"/>
        <v>#VALUE!</v>
      </c>
      <c r="S107" s="4"/>
      <c r="T107" s="4" t="e">
        <f>IF($A107="","",IF(OR(Inputs!$B$27="",Inputs!$B$28=""),0,IF($A107&lt;Inputs!$B$27,0,IF($A107&gt;Inputs!$B$29,0,$R107/MAX(1,Inputs!$B$28-DATEDIF(Inputs!$B$27,$A107,"m"))))))</f>
        <v>#VALUE!</v>
      </c>
      <c r="U107" s="4"/>
      <c r="V107" s="4" t="e">
        <f t="shared" si="34"/>
        <v>#VALUE!</v>
      </c>
      <c r="W107" s="5" t="e">
        <f>IF($A107="","",MAX(Inputs!$B$14,(IF($B107="",Inputs!$B$20,$B107)+Inputs!$B$13)))</f>
        <v>#VALUE!</v>
      </c>
      <c r="X107" s="4" t="e">
        <f t="shared" si="35"/>
        <v>#VALUE!</v>
      </c>
      <c r="Y107" s="4" t="e">
        <f>IF($A107="","",IF(AND(IF($U107="",0,$U107)&gt;0,Inputs!$B$24&lt;&gt;"",$A107&lt;=EOMONTH(Inputs!$B$24,0)),IF($U107="",0,$U107)*Inputs!$B$19,0))</f>
        <v>#VALUE!</v>
      </c>
      <c r="Z107" s="4" t="e">
        <f t="shared" si="36"/>
        <v>#VALUE!</v>
      </c>
      <c r="AA107" s="4" t="e">
        <f t="shared" si="37"/>
        <v>#VALUE!</v>
      </c>
      <c r="AB107" s="4" t="e">
        <f t="shared" si="38"/>
        <v>#VALUE!</v>
      </c>
      <c r="AC107" s="4" t="e">
        <f>IF($A107="","",SUM($AB$2:$AB107))</f>
        <v>#VALUE!</v>
      </c>
    </row>
    <row r="108" spans="1:29" x14ac:dyDescent="0.45">
      <c r="A108" s="3" t="e">
        <f>IF(OR($A107="",AND(Inputs!$B$31&lt;&gt;"",EOMONTH($A107,1)&gt;Inputs!$B$31)),"",EOMONTH($A107,1))</f>
        <v>#VALUE!</v>
      </c>
      <c r="B108" s="5"/>
      <c r="C108" s="4"/>
      <c r="D108" s="5"/>
      <c r="E108" s="8" t="e">
        <f>IF($A108="","",MAX(0,(1-(IF($D108="",Inputs!$B$21,$D108)))*IF($A108&lt;=DATE(2026,7,31),9,IF($A108&lt;=DATE(2027,7,31),7.5,6))))</f>
        <v>#VALUE!</v>
      </c>
      <c r="F108" s="4" t="e">
        <f>IF($A108="","",(IF($C108="",Inputs!$B$22,$C108))*$E108)</f>
        <v>#VALUE!</v>
      </c>
      <c r="G108" s="4" t="e">
        <f>IF($A108="","",Inputs!$B$4+IF(AND(Inputs!$B$6&lt;&gt;"",$A108&gt;=EOMONTH(Inputs!$B$6,0)),Inputs!$B$5,0))</f>
        <v>#VALUE!</v>
      </c>
      <c r="H108" s="4" t="e">
        <f t="shared" si="39"/>
        <v>#VALUE!</v>
      </c>
      <c r="I108" s="4"/>
      <c r="J108" s="4"/>
      <c r="K108" s="4" t="e">
        <f t="shared" si="31"/>
        <v>#VALUE!</v>
      </c>
      <c r="L108" s="5" t="e">
        <f>IF($A108="","",MAX(Inputs!$B$14,(IF($B108="",Inputs!$B$20,$B108)+Inputs!$B$12)))</f>
        <v>#VALUE!</v>
      </c>
      <c r="M108" s="4" t="e">
        <f t="shared" si="32"/>
        <v>#VALUE!</v>
      </c>
      <c r="N108" s="4" t="e">
        <f t="shared" si="33"/>
        <v>#VALUE!</v>
      </c>
      <c r="O108" s="4" t="e">
        <f>IF($A108="","",$N108*Inputs!$B$15/12)</f>
        <v>#VALUE!</v>
      </c>
      <c r="P108" s="4" t="e">
        <f>IF($A108="","",SUM(IF($A108=EOMONTH(Inputs!$B$3,0),Inputs!$B$4*Inputs!$B$16,0),IF(Inputs!$B$3="",0,IF($A108=EOMONTH(Inputs!$B$3,12),Inputs!$B$4*Inputs!$B$16,0)),IF(Inputs!$B$3="",0,IF($A108=EOMONTH(Inputs!$B$3,24),Inputs!$B$4*Inputs!$B$16,0))))</f>
        <v>#VALUE!</v>
      </c>
      <c r="Q108" s="4" t="e">
        <f>IF($A108="","",IF(AND(Inputs!$B$18&lt;&gt;"",$A108=EOMONTH(Inputs!$B$18,0),Inputs!$B$18&lt;=Inputs!$B$23),Inputs!$B$4*Inputs!$B$17,0))</f>
        <v>#VALUE!</v>
      </c>
      <c r="R108" s="4" t="e">
        <f t="shared" si="40"/>
        <v>#VALUE!</v>
      </c>
      <c r="S108" s="4"/>
      <c r="T108" s="4" t="e">
        <f>IF($A108="","",IF(OR(Inputs!$B$27="",Inputs!$B$28=""),0,IF($A108&lt;Inputs!$B$27,0,IF($A108&gt;Inputs!$B$29,0,$R108/MAX(1,Inputs!$B$28-DATEDIF(Inputs!$B$27,$A108,"m"))))))</f>
        <v>#VALUE!</v>
      </c>
      <c r="U108" s="4"/>
      <c r="V108" s="4" t="e">
        <f t="shared" si="34"/>
        <v>#VALUE!</v>
      </c>
      <c r="W108" s="5" t="e">
        <f>IF($A108="","",MAX(Inputs!$B$14,(IF($B108="",Inputs!$B$20,$B108)+Inputs!$B$13)))</f>
        <v>#VALUE!</v>
      </c>
      <c r="X108" s="4" t="e">
        <f t="shared" si="35"/>
        <v>#VALUE!</v>
      </c>
      <c r="Y108" s="4" t="e">
        <f>IF($A108="","",IF(AND(IF($U108="",0,$U108)&gt;0,Inputs!$B$24&lt;&gt;"",$A108&lt;=EOMONTH(Inputs!$B$24,0)),IF($U108="",0,$U108)*Inputs!$B$19,0))</f>
        <v>#VALUE!</v>
      </c>
      <c r="Z108" s="4" t="e">
        <f t="shared" si="36"/>
        <v>#VALUE!</v>
      </c>
      <c r="AA108" s="4" t="e">
        <f t="shared" si="37"/>
        <v>#VALUE!</v>
      </c>
      <c r="AB108" s="4" t="e">
        <f t="shared" si="38"/>
        <v>#VALUE!</v>
      </c>
      <c r="AC108" s="4" t="e">
        <f>IF($A108="","",SUM($AB$2:$AB108))</f>
        <v>#VALUE!</v>
      </c>
    </row>
    <row r="109" spans="1:29" x14ac:dyDescent="0.45">
      <c r="A109" s="3" t="e">
        <f>IF(OR($A108="",AND(Inputs!$B$31&lt;&gt;"",EOMONTH($A108,1)&gt;Inputs!$B$31)),"",EOMONTH($A108,1))</f>
        <v>#VALUE!</v>
      </c>
      <c r="B109" s="5"/>
      <c r="C109" s="4"/>
      <c r="D109" s="5"/>
      <c r="E109" s="8" t="e">
        <f>IF($A109="","",MAX(0,(1-(IF($D109="",Inputs!$B$21,$D109)))*IF($A109&lt;=DATE(2026,7,31),9,IF($A109&lt;=DATE(2027,7,31),7.5,6))))</f>
        <v>#VALUE!</v>
      </c>
      <c r="F109" s="4" t="e">
        <f>IF($A109="","",(IF($C109="",Inputs!$B$22,$C109))*$E109)</f>
        <v>#VALUE!</v>
      </c>
      <c r="G109" s="4" t="e">
        <f>IF($A109="","",Inputs!$B$4+IF(AND(Inputs!$B$6&lt;&gt;"",$A109&gt;=EOMONTH(Inputs!$B$6,0)),Inputs!$B$5,0))</f>
        <v>#VALUE!</v>
      </c>
      <c r="H109" s="4" t="e">
        <f t="shared" si="39"/>
        <v>#VALUE!</v>
      </c>
      <c r="I109" s="4"/>
      <c r="J109" s="4"/>
      <c r="K109" s="4" t="e">
        <f t="shared" si="31"/>
        <v>#VALUE!</v>
      </c>
      <c r="L109" s="5" t="e">
        <f>IF($A109="","",MAX(Inputs!$B$14,(IF($B109="",Inputs!$B$20,$B109)+Inputs!$B$12)))</f>
        <v>#VALUE!</v>
      </c>
      <c r="M109" s="4" t="e">
        <f t="shared" si="32"/>
        <v>#VALUE!</v>
      </c>
      <c r="N109" s="4" t="e">
        <f t="shared" si="33"/>
        <v>#VALUE!</v>
      </c>
      <c r="O109" s="4" t="e">
        <f>IF($A109="","",$N109*Inputs!$B$15/12)</f>
        <v>#VALUE!</v>
      </c>
      <c r="P109" s="4" t="e">
        <f>IF($A109="","",SUM(IF($A109=EOMONTH(Inputs!$B$3,0),Inputs!$B$4*Inputs!$B$16,0),IF(Inputs!$B$3="",0,IF($A109=EOMONTH(Inputs!$B$3,12),Inputs!$B$4*Inputs!$B$16,0)),IF(Inputs!$B$3="",0,IF($A109=EOMONTH(Inputs!$B$3,24),Inputs!$B$4*Inputs!$B$16,0))))</f>
        <v>#VALUE!</v>
      </c>
      <c r="Q109" s="4" t="e">
        <f>IF($A109="","",IF(AND(Inputs!$B$18&lt;&gt;"",$A109=EOMONTH(Inputs!$B$18,0),Inputs!$B$18&lt;=Inputs!$B$23),Inputs!$B$4*Inputs!$B$17,0))</f>
        <v>#VALUE!</v>
      </c>
      <c r="R109" s="4" t="e">
        <f t="shared" si="40"/>
        <v>#VALUE!</v>
      </c>
      <c r="S109" s="4"/>
      <c r="T109" s="4" t="e">
        <f>IF($A109="","",IF(OR(Inputs!$B$27="",Inputs!$B$28=""),0,IF($A109&lt;Inputs!$B$27,0,IF($A109&gt;Inputs!$B$29,0,$R109/MAX(1,Inputs!$B$28-DATEDIF(Inputs!$B$27,$A109,"m"))))))</f>
        <v>#VALUE!</v>
      </c>
      <c r="U109" s="4"/>
      <c r="V109" s="4" t="e">
        <f t="shared" si="34"/>
        <v>#VALUE!</v>
      </c>
      <c r="W109" s="5" t="e">
        <f>IF($A109="","",MAX(Inputs!$B$14,(IF($B109="",Inputs!$B$20,$B109)+Inputs!$B$13)))</f>
        <v>#VALUE!</v>
      </c>
      <c r="X109" s="4" t="e">
        <f t="shared" si="35"/>
        <v>#VALUE!</v>
      </c>
      <c r="Y109" s="4" t="e">
        <f>IF($A109="","",IF(AND(IF($U109="",0,$U109)&gt;0,Inputs!$B$24&lt;&gt;"",$A109&lt;=EOMONTH(Inputs!$B$24,0)),IF($U109="",0,$U109)*Inputs!$B$19,0))</f>
        <v>#VALUE!</v>
      </c>
      <c r="Z109" s="4" t="e">
        <f t="shared" si="36"/>
        <v>#VALUE!</v>
      </c>
      <c r="AA109" s="4" t="e">
        <f t="shared" si="37"/>
        <v>#VALUE!</v>
      </c>
      <c r="AB109" s="4" t="e">
        <f t="shared" si="38"/>
        <v>#VALUE!</v>
      </c>
      <c r="AC109" s="4" t="e">
        <f>IF($A109="","",SUM($AB$2:$AB109))</f>
        <v>#VALUE!</v>
      </c>
    </row>
    <row r="110" spans="1:29" x14ac:dyDescent="0.45">
      <c r="A110" s="3" t="e">
        <f>IF(OR($A109="",AND(Inputs!$B$31&lt;&gt;"",EOMONTH($A109,1)&gt;Inputs!$B$31)),"",EOMONTH($A109,1))</f>
        <v>#VALUE!</v>
      </c>
      <c r="B110" s="5"/>
      <c r="C110" s="4"/>
      <c r="D110" s="5"/>
      <c r="E110" s="8" t="e">
        <f>IF($A110="","",MAX(0,(1-(IF($D110="",Inputs!$B$21,$D110)))*IF($A110&lt;=DATE(2026,7,31),9,IF($A110&lt;=DATE(2027,7,31),7.5,6))))</f>
        <v>#VALUE!</v>
      </c>
      <c r="F110" s="4" t="e">
        <f>IF($A110="","",(IF($C110="",Inputs!$B$22,$C110))*$E110)</f>
        <v>#VALUE!</v>
      </c>
      <c r="G110" s="4" t="e">
        <f>IF($A110="","",Inputs!$B$4+IF(AND(Inputs!$B$6&lt;&gt;"",$A110&gt;=EOMONTH(Inputs!$B$6,0)),Inputs!$B$5,0))</f>
        <v>#VALUE!</v>
      </c>
      <c r="H110" s="4" t="e">
        <f t="shared" si="39"/>
        <v>#VALUE!</v>
      </c>
      <c r="I110" s="4"/>
      <c r="J110" s="4"/>
      <c r="K110" s="4" t="e">
        <f t="shared" si="31"/>
        <v>#VALUE!</v>
      </c>
      <c r="L110" s="5" t="e">
        <f>IF($A110="","",MAX(Inputs!$B$14,(IF($B110="",Inputs!$B$20,$B110)+Inputs!$B$12)))</f>
        <v>#VALUE!</v>
      </c>
      <c r="M110" s="4" t="e">
        <f t="shared" si="32"/>
        <v>#VALUE!</v>
      </c>
      <c r="N110" s="4" t="e">
        <f t="shared" si="33"/>
        <v>#VALUE!</v>
      </c>
      <c r="O110" s="4" t="e">
        <f>IF($A110="","",$N110*Inputs!$B$15/12)</f>
        <v>#VALUE!</v>
      </c>
      <c r="P110" s="4" t="e">
        <f>IF($A110="","",SUM(IF($A110=EOMONTH(Inputs!$B$3,0),Inputs!$B$4*Inputs!$B$16,0),IF(Inputs!$B$3="",0,IF($A110=EOMONTH(Inputs!$B$3,12),Inputs!$B$4*Inputs!$B$16,0)),IF(Inputs!$B$3="",0,IF($A110=EOMONTH(Inputs!$B$3,24),Inputs!$B$4*Inputs!$B$16,0))))</f>
        <v>#VALUE!</v>
      </c>
      <c r="Q110" s="4" t="e">
        <f>IF($A110="","",IF(AND(Inputs!$B$18&lt;&gt;"",$A110=EOMONTH(Inputs!$B$18,0),Inputs!$B$18&lt;=Inputs!$B$23),Inputs!$B$4*Inputs!$B$17,0))</f>
        <v>#VALUE!</v>
      </c>
      <c r="R110" s="4" t="e">
        <f t="shared" si="40"/>
        <v>#VALUE!</v>
      </c>
      <c r="S110" s="4"/>
      <c r="T110" s="4" t="e">
        <f>IF($A110="","",IF(OR(Inputs!$B$27="",Inputs!$B$28=""),0,IF($A110&lt;Inputs!$B$27,0,IF($A110&gt;Inputs!$B$29,0,$R110/MAX(1,Inputs!$B$28-DATEDIF(Inputs!$B$27,$A110,"m"))))))</f>
        <v>#VALUE!</v>
      </c>
      <c r="U110" s="4"/>
      <c r="V110" s="4" t="e">
        <f t="shared" si="34"/>
        <v>#VALUE!</v>
      </c>
      <c r="W110" s="5" t="e">
        <f>IF($A110="","",MAX(Inputs!$B$14,(IF($B110="",Inputs!$B$20,$B110)+Inputs!$B$13)))</f>
        <v>#VALUE!</v>
      </c>
      <c r="X110" s="4" t="e">
        <f t="shared" si="35"/>
        <v>#VALUE!</v>
      </c>
      <c r="Y110" s="4" t="e">
        <f>IF($A110="","",IF(AND(IF($U110="",0,$U110)&gt;0,Inputs!$B$24&lt;&gt;"",$A110&lt;=EOMONTH(Inputs!$B$24,0)),IF($U110="",0,$U110)*Inputs!$B$19,0))</f>
        <v>#VALUE!</v>
      </c>
      <c r="Z110" s="4" t="e">
        <f t="shared" si="36"/>
        <v>#VALUE!</v>
      </c>
      <c r="AA110" s="4" t="e">
        <f t="shared" si="37"/>
        <v>#VALUE!</v>
      </c>
      <c r="AB110" s="4" t="e">
        <f t="shared" si="38"/>
        <v>#VALUE!</v>
      </c>
      <c r="AC110" s="4" t="e">
        <f>IF($A110="","",SUM($AB$2:$AB110))</f>
        <v>#VALUE!</v>
      </c>
    </row>
    <row r="111" spans="1:29" x14ac:dyDescent="0.45">
      <c r="A111" s="3" t="e">
        <f>IF(OR($A110="",AND(Inputs!$B$31&lt;&gt;"",EOMONTH($A110,1)&gt;Inputs!$B$31)),"",EOMONTH($A110,1))</f>
        <v>#VALUE!</v>
      </c>
      <c r="B111" s="5"/>
      <c r="C111" s="4"/>
      <c r="D111" s="5"/>
      <c r="E111" s="8" t="e">
        <f>IF($A111="","",MAX(0,(1-(IF($D111="",Inputs!$B$21,$D111)))*IF($A111&lt;=DATE(2026,7,31),9,IF($A111&lt;=DATE(2027,7,31),7.5,6))))</f>
        <v>#VALUE!</v>
      </c>
      <c r="F111" s="4" t="e">
        <f>IF($A111="","",(IF($C111="",Inputs!$B$22,$C111))*$E111)</f>
        <v>#VALUE!</v>
      </c>
      <c r="G111" s="4" t="e">
        <f>IF($A111="","",Inputs!$B$4+IF(AND(Inputs!$B$6&lt;&gt;"",$A111&gt;=EOMONTH(Inputs!$B$6,0)),Inputs!$B$5,0))</f>
        <v>#VALUE!</v>
      </c>
      <c r="H111" s="4" t="e">
        <f t="shared" si="39"/>
        <v>#VALUE!</v>
      </c>
      <c r="I111" s="4"/>
      <c r="J111" s="4"/>
      <c r="K111" s="4" t="e">
        <f t="shared" si="31"/>
        <v>#VALUE!</v>
      </c>
      <c r="L111" s="5" t="e">
        <f>IF($A111="","",MAX(Inputs!$B$14,(IF($B111="",Inputs!$B$20,$B111)+Inputs!$B$12)))</f>
        <v>#VALUE!</v>
      </c>
      <c r="M111" s="4" t="e">
        <f t="shared" si="32"/>
        <v>#VALUE!</v>
      </c>
      <c r="N111" s="4" t="e">
        <f t="shared" si="33"/>
        <v>#VALUE!</v>
      </c>
      <c r="O111" s="4" t="e">
        <f>IF($A111="","",$N111*Inputs!$B$15/12)</f>
        <v>#VALUE!</v>
      </c>
      <c r="P111" s="4" t="e">
        <f>IF($A111="","",SUM(IF($A111=EOMONTH(Inputs!$B$3,0),Inputs!$B$4*Inputs!$B$16,0),IF(Inputs!$B$3="",0,IF($A111=EOMONTH(Inputs!$B$3,12),Inputs!$B$4*Inputs!$B$16,0)),IF(Inputs!$B$3="",0,IF($A111=EOMONTH(Inputs!$B$3,24),Inputs!$B$4*Inputs!$B$16,0))))</f>
        <v>#VALUE!</v>
      </c>
      <c r="Q111" s="4" t="e">
        <f>IF($A111="","",IF(AND(Inputs!$B$18&lt;&gt;"",$A111=EOMONTH(Inputs!$B$18,0),Inputs!$B$18&lt;=Inputs!$B$23),Inputs!$B$4*Inputs!$B$17,0))</f>
        <v>#VALUE!</v>
      </c>
      <c r="R111" s="4" t="e">
        <f t="shared" si="40"/>
        <v>#VALUE!</v>
      </c>
      <c r="S111" s="4"/>
      <c r="T111" s="4" t="e">
        <f>IF($A111="","",IF(OR(Inputs!$B$27="",Inputs!$B$28=""),0,IF($A111&lt;Inputs!$B$27,0,IF($A111&gt;Inputs!$B$29,0,$R111/MAX(1,Inputs!$B$28-DATEDIF(Inputs!$B$27,$A111,"m"))))))</f>
        <v>#VALUE!</v>
      </c>
      <c r="U111" s="4"/>
      <c r="V111" s="4" t="e">
        <f t="shared" si="34"/>
        <v>#VALUE!</v>
      </c>
      <c r="W111" s="5" t="e">
        <f>IF($A111="","",MAX(Inputs!$B$14,(IF($B111="",Inputs!$B$20,$B111)+Inputs!$B$13)))</f>
        <v>#VALUE!</v>
      </c>
      <c r="X111" s="4" t="e">
        <f t="shared" si="35"/>
        <v>#VALUE!</v>
      </c>
      <c r="Y111" s="4" t="e">
        <f>IF($A111="","",IF(AND(IF($U111="",0,$U111)&gt;0,Inputs!$B$24&lt;&gt;"",$A111&lt;=EOMONTH(Inputs!$B$24,0)),IF($U111="",0,$U111)*Inputs!$B$19,0))</f>
        <v>#VALUE!</v>
      </c>
      <c r="Z111" s="4" t="e">
        <f t="shared" si="36"/>
        <v>#VALUE!</v>
      </c>
      <c r="AA111" s="4" t="e">
        <f t="shared" si="37"/>
        <v>#VALUE!</v>
      </c>
      <c r="AB111" s="4" t="e">
        <f t="shared" si="38"/>
        <v>#VALUE!</v>
      </c>
      <c r="AC111" s="4" t="e">
        <f>IF($A111="","",SUM($AB$2:$AB111))</f>
        <v>#VALUE!</v>
      </c>
    </row>
    <row r="112" spans="1:29" x14ac:dyDescent="0.45">
      <c r="A112" s="3" t="e">
        <f>IF(OR($A111="",AND(Inputs!$B$31&lt;&gt;"",EOMONTH($A111,1)&gt;Inputs!$B$31)),"",EOMONTH($A111,1))</f>
        <v>#VALUE!</v>
      </c>
      <c r="B112" s="5"/>
      <c r="C112" s="4"/>
      <c r="D112" s="5"/>
      <c r="E112" s="8" t="e">
        <f>IF($A112="","",MAX(0,(1-(IF($D112="",Inputs!$B$21,$D112)))*IF($A112&lt;=DATE(2026,7,31),9,IF($A112&lt;=DATE(2027,7,31),7.5,6))))</f>
        <v>#VALUE!</v>
      </c>
      <c r="F112" s="4" t="e">
        <f>IF($A112="","",(IF($C112="",Inputs!$B$22,$C112))*$E112)</f>
        <v>#VALUE!</v>
      </c>
      <c r="G112" s="4" t="e">
        <f>IF($A112="","",Inputs!$B$4+IF(AND(Inputs!$B$6&lt;&gt;"",$A112&gt;=EOMONTH(Inputs!$B$6,0)),Inputs!$B$5,0))</f>
        <v>#VALUE!</v>
      </c>
      <c r="H112" s="4" t="e">
        <f t="shared" si="39"/>
        <v>#VALUE!</v>
      </c>
      <c r="I112" s="4"/>
      <c r="J112" s="4"/>
      <c r="K112" s="4" t="e">
        <f t="shared" si="31"/>
        <v>#VALUE!</v>
      </c>
      <c r="L112" s="5" t="e">
        <f>IF($A112="","",MAX(Inputs!$B$14,(IF($B112="",Inputs!$B$20,$B112)+Inputs!$B$12)))</f>
        <v>#VALUE!</v>
      </c>
      <c r="M112" s="4" t="e">
        <f t="shared" si="32"/>
        <v>#VALUE!</v>
      </c>
      <c r="N112" s="4" t="e">
        <f t="shared" si="33"/>
        <v>#VALUE!</v>
      </c>
      <c r="O112" s="4" t="e">
        <f>IF($A112="","",$N112*Inputs!$B$15/12)</f>
        <v>#VALUE!</v>
      </c>
      <c r="P112" s="4" t="e">
        <f>IF($A112="","",SUM(IF($A112=EOMONTH(Inputs!$B$3,0),Inputs!$B$4*Inputs!$B$16,0),IF(Inputs!$B$3="",0,IF($A112=EOMONTH(Inputs!$B$3,12),Inputs!$B$4*Inputs!$B$16,0)),IF(Inputs!$B$3="",0,IF($A112=EOMONTH(Inputs!$B$3,24),Inputs!$B$4*Inputs!$B$16,0))))</f>
        <v>#VALUE!</v>
      </c>
      <c r="Q112" s="4" t="e">
        <f>IF($A112="","",IF(AND(Inputs!$B$18&lt;&gt;"",$A112=EOMONTH(Inputs!$B$18,0),Inputs!$B$18&lt;=Inputs!$B$23),Inputs!$B$4*Inputs!$B$17,0))</f>
        <v>#VALUE!</v>
      </c>
      <c r="R112" s="4" t="e">
        <f t="shared" si="40"/>
        <v>#VALUE!</v>
      </c>
      <c r="S112" s="4"/>
      <c r="T112" s="4" t="e">
        <f>IF($A112="","",IF(OR(Inputs!$B$27="",Inputs!$B$28=""),0,IF($A112&lt;Inputs!$B$27,0,IF($A112&gt;Inputs!$B$29,0,$R112/MAX(1,Inputs!$B$28-DATEDIF(Inputs!$B$27,$A112,"m"))))))</f>
        <v>#VALUE!</v>
      </c>
      <c r="U112" s="4"/>
      <c r="V112" s="4" t="e">
        <f t="shared" si="34"/>
        <v>#VALUE!</v>
      </c>
      <c r="W112" s="5" t="e">
        <f>IF($A112="","",MAX(Inputs!$B$14,(IF($B112="",Inputs!$B$20,$B112)+Inputs!$B$13)))</f>
        <v>#VALUE!</v>
      </c>
      <c r="X112" s="4" t="e">
        <f t="shared" si="35"/>
        <v>#VALUE!</v>
      </c>
      <c r="Y112" s="4" t="e">
        <f>IF($A112="","",IF(AND(IF($U112="",0,$U112)&gt;0,Inputs!$B$24&lt;&gt;"",$A112&lt;=EOMONTH(Inputs!$B$24,0)),IF($U112="",0,$U112)*Inputs!$B$19,0))</f>
        <v>#VALUE!</v>
      </c>
      <c r="Z112" s="4" t="e">
        <f t="shared" si="36"/>
        <v>#VALUE!</v>
      </c>
      <c r="AA112" s="4" t="e">
        <f t="shared" si="37"/>
        <v>#VALUE!</v>
      </c>
      <c r="AB112" s="4" t="e">
        <f t="shared" si="38"/>
        <v>#VALUE!</v>
      </c>
      <c r="AC112" s="4" t="e">
        <f>IF($A112="","",SUM($AB$2:$AB112))</f>
        <v>#VALUE!</v>
      </c>
    </row>
    <row r="113" spans="1:29" x14ac:dyDescent="0.45">
      <c r="A113" s="3" t="e">
        <f>IF(OR($A112="",AND(Inputs!$B$31&lt;&gt;"",EOMONTH($A112,1)&gt;Inputs!$B$31)),"",EOMONTH($A112,1))</f>
        <v>#VALUE!</v>
      </c>
      <c r="B113" s="5"/>
      <c r="C113" s="4"/>
      <c r="D113" s="5"/>
      <c r="E113" s="8" t="e">
        <f>IF($A113="","",MAX(0,(1-(IF($D113="",Inputs!$B$21,$D113)))*IF($A113&lt;=DATE(2026,7,31),9,IF($A113&lt;=DATE(2027,7,31),7.5,6))))</f>
        <v>#VALUE!</v>
      </c>
      <c r="F113" s="4" t="e">
        <f>IF($A113="","",(IF($C113="",Inputs!$B$22,$C113))*$E113)</f>
        <v>#VALUE!</v>
      </c>
      <c r="G113" s="4" t="e">
        <f>IF($A113="","",Inputs!$B$4+IF(AND(Inputs!$B$6&lt;&gt;"",$A113&gt;=EOMONTH(Inputs!$B$6,0)),Inputs!$B$5,0))</f>
        <v>#VALUE!</v>
      </c>
      <c r="H113" s="4" t="e">
        <f t="shared" si="39"/>
        <v>#VALUE!</v>
      </c>
      <c r="I113" s="4"/>
      <c r="J113" s="4"/>
      <c r="K113" s="4" t="e">
        <f t="shared" si="31"/>
        <v>#VALUE!</v>
      </c>
      <c r="L113" s="5" t="e">
        <f>IF($A113="","",MAX(Inputs!$B$14,(IF($B113="",Inputs!$B$20,$B113)+Inputs!$B$12)))</f>
        <v>#VALUE!</v>
      </c>
      <c r="M113" s="4" t="e">
        <f t="shared" si="32"/>
        <v>#VALUE!</v>
      </c>
      <c r="N113" s="4" t="e">
        <f t="shared" si="33"/>
        <v>#VALUE!</v>
      </c>
      <c r="O113" s="4" t="e">
        <f>IF($A113="","",$N113*Inputs!$B$15/12)</f>
        <v>#VALUE!</v>
      </c>
      <c r="P113" s="4" t="e">
        <f>IF($A113="","",SUM(IF($A113=EOMONTH(Inputs!$B$3,0),Inputs!$B$4*Inputs!$B$16,0),IF(Inputs!$B$3="",0,IF($A113=EOMONTH(Inputs!$B$3,12),Inputs!$B$4*Inputs!$B$16,0)),IF(Inputs!$B$3="",0,IF($A113=EOMONTH(Inputs!$B$3,24),Inputs!$B$4*Inputs!$B$16,0))))</f>
        <v>#VALUE!</v>
      </c>
      <c r="Q113" s="4" t="e">
        <f>IF($A113="","",IF(AND(Inputs!$B$18&lt;&gt;"",$A113=EOMONTH(Inputs!$B$18,0),Inputs!$B$18&lt;=Inputs!$B$23),Inputs!$B$4*Inputs!$B$17,0))</f>
        <v>#VALUE!</v>
      </c>
      <c r="R113" s="4" t="e">
        <f t="shared" si="40"/>
        <v>#VALUE!</v>
      </c>
      <c r="S113" s="4"/>
      <c r="T113" s="4" t="e">
        <f>IF($A113="","",IF(OR(Inputs!$B$27="",Inputs!$B$28=""),0,IF($A113&lt;Inputs!$B$27,0,IF($A113&gt;Inputs!$B$29,0,$R113/MAX(1,Inputs!$B$28-DATEDIF(Inputs!$B$27,$A113,"m"))))))</f>
        <v>#VALUE!</v>
      </c>
      <c r="U113" s="4"/>
      <c r="V113" s="4" t="e">
        <f t="shared" si="34"/>
        <v>#VALUE!</v>
      </c>
      <c r="W113" s="5" t="e">
        <f>IF($A113="","",MAX(Inputs!$B$14,(IF($B113="",Inputs!$B$20,$B113)+Inputs!$B$13)))</f>
        <v>#VALUE!</v>
      </c>
      <c r="X113" s="4" t="e">
        <f t="shared" si="35"/>
        <v>#VALUE!</v>
      </c>
      <c r="Y113" s="4" t="e">
        <f>IF($A113="","",IF(AND(IF($U113="",0,$U113)&gt;0,Inputs!$B$24&lt;&gt;"",$A113&lt;=EOMONTH(Inputs!$B$24,0)),IF($U113="",0,$U113)*Inputs!$B$19,0))</f>
        <v>#VALUE!</v>
      </c>
      <c r="Z113" s="4" t="e">
        <f t="shared" si="36"/>
        <v>#VALUE!</v>
      </c>
      <c r="AA113" s="4" t="e">
        <f t="shared" si="37"/>
        <v>#VALUE!</v>
      </c>
      <c r="AB113" s="4" t="e">
        <f t="shared" si="38"/>
        <v>#VALUE!</v>
      </c>
      <c r="AC113" s="4" t="e">
        <f>IF($A113="","",SUM($AB$2:$AB113))</f>
        <v>#VALUE!</v>
      </c>
    </row>
    <row r="114" spans="1:29" x14ac:dyDescent="0.45">
      <c r="A114" s="3" t="e">
        <f>IF(OR($A113="",AND(Inputs!$B$31&lt;&gt;"",EOMONTH($A113,1)&gt;Inputs!$B$31)),"",EOMONTH($A113,1))</f>
        <v>#VALUE!</v>
      </c>
      <c r="B114" s="5"/>
      <c r="C114" s="4"/>
      <c r="D114" s="5"/>
      <c r="E114" s="8" t="e">
        <f>IF($A114="","",MAX(0,(1-(IF($D114="",Inputs!$B$21,$D114)))*IF($A114&lt;=DATE(2026,7,31),9,IF($A114&lt;=DATE(2027,7,31),7.5,6))))</f>
        <v>#VALUE!</v>
      </c>
      <c r="F114" s="4" t="e">
        <f>IF($A114="","",(IF($C114="",Inputs!$B$22,$C114))*$E114)</f>
        <v>#VALUE!</v>
      </c>
      <c r="G114" s="4" t="e">
        <f>IF($A114="","",Inputs!$B$4+IF(AND(Inputs!$B$6&lt;&gt;"",$A114&gt;=EOMONTH(Inputs!$B$6,0)),Inputs!$B$5,0))</f>
        <v>#VALUE!</v>
      </c>
      <c r="H114" s="4" t="e">
        <f t="shared" si="39"/>
        <v>#VALUE!</v>
      </c>
      <c r="I114" s="4"/>
      <c r="J114" s="4"/>
      <c r="K114" s="4" t="e">
        <f t="shared" si="31"/>
        <v>#VALUE!</v>
      </c>
      <c r="L114" s="5" t="e">
        <f>IF($A114="","",MAX(Inputs!$B$14,(IF($B114="",Inputs!$B$20,$B114)+Inputs!$B$12)))</f>
        <v>#VALUE!</v>
      </c>
      <c r="M114" s="4" t="e">
        <f t="shared" si="32"/>
        <v>#VALUE!</v>
      </c>
      <c r="N114" s="4" t="e">
        <f t="shared" si="33"/>
        <v>#VALUE!</v>
      </c>
      <c r="O114" s="4" t="e">
        <f>IF($A114="","",$N114*Inputs!$B$15/12)</f>
        <v>#VALUE!</v>
      </c>
      <c r="P114" s="4" t="e">
        <f>IF($A114="","",SUM(IF($A114=EOMONTH(Inputs!$B$3,0),Inputs!$B$4*Inputs!$B$16,0),IF(Inputs!$B$3="",0,IF($A114=EOMONTH(Inputs!$B$3,12),Inputs!$B$4*Inputs!$B$16,0)),IF(Inputs!$B$3="",0,IF($A114=EOMONTH(Inputs!$B$3,24),Inputs!$B$4*Inputs!$B$16,0))))</f>
        <v>#VALUE!</v>
      </c>
      <c r="Q114" s="4" t="e">
        <f>IF($A114="","",IF(AND(Inputs!$B$18&lt;&gt;"",$A114=EOMONTH(Inputs!$B$18,0),Inputs!$B$18&lt;=Inputs!$B$23),Inputs!$B$4*Inputs!$B$17,0))</f>
        <v>#VALUE!</v>
      </c>
      <c r="R114" s="4" t="e">
        <f t="shared" si="40"/>
        <v>#VALUE!</v>
      </c>
      <c r="S114" s="4"/>
      <c r="T114" s="4" t="e">
        <f>IF($A114="","",IF(OR(Inputs!$B$27="",Inputs!$B$28=""),0,IF($A114&lt;Inputs!$B$27,0,IF($A114&gt;Inputs!$B$29,0,$R114/MAX(1,Inputs!$B$28-DATEDIF(Inputs!$B$27,$A114,"m"))))))</f>
        <v>#VALUE!</v>
      </c>
      <c r="U114" s="4"/>
      <c r="V114" s="4" t="e">
        <f t="shared" si="34"/>
        <v>#VALUE!</v>
      </c>
      <c r="W114" s="5" t="e">
        <f>IF($A114="","",MAX(Inputs!$B$14,(IF($B114="",Inputs!$B$20,$B114)+Inputs!$B$13)))</f>
        <v>#VALUE!</v>
      </c>
      <c r="X114" s="4" t="e">
        <f t="shared" si="35"/>
        <v>#VALUE!</v>
      </c>
      <c r="Y114" s="4" t="e">
        <f>IF($A114="","",IF(AND(IF($U114="",0,$U114)&gt;0,Inputs!$B$24&lt;&gt;"",$A114&lt;=EOMONTH(Inputs!$B$24,0)),IF($U114="",0,$U114)*Inputs!$B$19,0))</f>
        <v>#VALUE!</v>
      </c>
      <c r="Z114" s="4" t="e">
        <f t="shared" si="36"/>
        <v>#VALUE!</v>
      </c>
      <c r="AA114" s="4" t="e">
        <f t="shared" si="37"/>
        <v>#VALUE!</v>
      </c>
      <c r="AB114" s="4" t="e">
        <f t="shared" si="38"/>
        <v>#VALUE!</v>
      </c>
      <c r="AC114" s="4" t="e">
        <f>IF($A114="","",SUM($AB$2:$AB114))</f>
        <v>#VALUE!</v>
      </c>
    </row>
    <row r="115" spans="1:29" x14ac:dyDescent="0.45">
      <c r="A115" s="3" t="e">
        <f>IF(OR($A114="",AND(Inputs!$B$31&lt;&gt;"",EOMONTH($A114,1)&gt;Inputs!$B$31)),"",EOMONTH($A114,1))</f>
        <v>#VALUE!</v>
      </c>
      <c r="B115" s="5"/>
      <c r="C115" s="4"/>
      <c r="D115" s="5"/>
      <c r="E115" s="8" t="e">
        <f>IF($A115="","",MAX(0,(1-(IF($D115="",Inputs!$B$21,$D115)))*IF($A115&lt;=DATE(2026,7,31),9,IF($A115&lt;=DATE(2027,7,31),7.5,6))))</f>
        <v>#VALUE!</v>
      </c>
      <c r="F115" s="4" t="e">
        <f>IF($A115="","",(IF($C115="",Inputs!$B$22,$C115))*$E115)</f>
        <v>#VALUE!</v>
      </c>
      <c r="G115" s="4" t="e">
        <f>IF($A115="","",Inputs!$B$4+IF(AND(Inputs!$B$6&lt;&gt;"",$A115&gt;=EOMONTH(Inputs!$B$6,0)),Inputs!$B$5,0))</f>
        <v>#VALUE!</v>
      </c>
      <c r="H115" s="4" t="e">
        <f t="shared" si="39"/>
        <v>#VALUE!</v>
      </c>
      <c r="I115" s="4"/>
      <c r="J115" s="4"/>
      <c r="K115" s="4" t="e">
        <f t="shared" si="31"/>
        <v>#VALUE!</v>
      </c>
      <c r="L115" s="5" t="e">
        <f>IF($A115="","",MAX(Inputs!$B$14,(IF($B115="",Inputs!$B$20,$B115)+Inputs!$B$12)))</f>
        <v>#VALUE!</v>
      </c>
      <c r="M115" s="4" t="e">
        <f t="shared" si="32"/>
        <v>#VALUE!</v>
      </c>
      <c r="N115" s="4" t="e">
        <f t="shared" si="33"/>
        <v>#VALUE!</v>
      </c>
      <c r="O115" s="4" t="e">
        <f>IF($A115="","",$N115*Inputs!$B$15/12)</f>
        <v>#VALUE!</v>
      </c>
      <c r="P115" s="4" t="e">
        <f>IF($A115="","",SUM(IF($A115=EOMONTH(Inputs!$B$3,0),Inputs!$B$4*Inputs!$B$16,0),IF(Inputs!$B$3="",0,IF($A115=EOMONTH(Inputs!$B$3,12),Inputs!$B$4*Inputs!$B$16,0)),IF(Inputs!$B$3="",0,IF($A115=EOMONTH(Inputs!$B$3,24),Inputs!$B$4*Inputs!$B$16,0))))</f>
        <v>#VALUE!</v>
      </c>
      <c r="Q115" s="4" t="e">
        <f>IF($A115="","",IF(AND(Inputs!$B$18&lt;&gt;"",$A115=EOMONTH(Inputs!$B$18,0),Inputs!$B$18&lt;=Inputs!$B$23),Inputs!$B$4*Inputs!$B$17,0))</f>
        <v>#VALUE!</v>
      </c>
      <c r="R115" s="4" t="e">
        <f t="shared" si="40"/>
        <v>#VALUE!</v>
      </c>
      <c r="S115" s="4"/>
      <c r="T115" s="4" t="e">
        <f>IF($A115="","",IF(OR(Inputs!$B$27="",Inputs!$B$28=""),0,IF($A115&lt;Inputs!$B$27,0,IF($A115&gt;Inputs!$B$29,0,$R115/MAX(1,Inputs!$B$28-DATEDIF(Inputs!$B$27,$A115,"m"))))))</f>
        <v>#VALUE!</v>
      </c>
      <c r="U115" s="4"/>
      <c r="V115" s="4" t="e">
        <f t="shared" si="34"/>
        <v>#VALUE!</v>
      </c>
      <c r="W115" s="5" t="e">
        <f>IF($A115="","",MAX(Inputs!$B$14,(IF($B115="",Inputs!$B$20,$B115)+Inputs!$B$13)))</f>
        <v>#VALUE!</v>
      </c>
      <c r="X115" s="4" t="e">
        <f t="shared" si="35"/>
        <v>#VALUE!</v>
      </c>
      <c r="Y115" s="4" t="e">
        <f>IF($A115="","",IF(AND(IF($U115="",0,$U115)&gt;0,Inputs!$B$24&lt;&gt;"",$A115&lt;=EOMONTH(Inputs!$B$24,0)),IF($U115="",0,$U115)*Inputs!$B$19,0))</f>
        <v>#VALUE!</v>
      </c>
      <c r="Z115" s="4" t="e">
        <f t="shared" si="36"/>
        <v>#VALUE!</v>
      </c>
      <c r="AA115" s="4" t="e">
        <f t="shared" si="37"/>
        <v>#VALUE!</v>
      </c>
      <c r="AB115" s="4" t="e">
        <f t="shared" si="38"/>
        <v>#VALUE!</v>
      </c>
      <c r="AC115" s="4" t="e">
        <f>IF($A115="","",SUM($AB$2:$AB115))</f>
        <v>#VALUE!</v>
      </c>
    </row>
    <row r="116" spans="1:29" x14ac:dyDescent="0.45">
      <c r="A116" s="3" t="e">
        <f>IF(OR($A115="",AND(Inputs!$B$31&lt;&gt;"",EOMONTH($A115,1)&gt;Inputs!$B$31)),"",EOMONTH($A115,1))</f>
        <v>#VALUE!</v>
      </c>
      <c r="B116" s="5"/>
      <c r="C116" s="4"/>
      <c r="D116" s="5"/>
      <c r="E116" s="8" t="e">
        <f>IF($A116="","",MAX(0,(1-(IF($D116="",Inputs!$B$21,$D116)))*IF($A116&lt;=DATE(2026,7,31),9,IF($A116&lt;=DATE(2027,7,31),7.5,6))))</f>
        <v>#VALUE!</v>
      </c>
      <c r="F116" s="4" t="e">
        <f>IF($A116="","",(IF($C116="",Inputs!$B$22,$C116))*$E116)</f>
        <v>#VALUE!</v>
      </c>
      <c r="G116" s="4" t="e">
        <f>IF($A116="","",Inputs!$B$4+IF(AND(Inputs!$B$6&lt;&gt;"",$A116&gt;=EOMONTH(Inputs!$B$6,0)),Inputs!$B$5,0))</f>
        <v>#VALUE!</v>
      </c>
      <c r="H116" s="4" t="e">
        <f t="shared" si="39"/>
        <v>#VALUE!</v>
      </c>
      <c r="I116" s="4"/>
      <c r="J116" s="4"/>
      <c r="K116" s="4" t="e">
        <f t="shared" si="31"/>
        <v>#VALUE!</v>
      </c>
      <c r="L116" s="5" t="e">
        <f>IF($A116="","",MAX(Inputs!$B$14,(IF($B116="",Inputs!$B$20,$B116)+Inputs!$B$12)))</f>
        <v>#VALUE!</v>
      </c>
      <c r="M116" s="4" t="e">
        <f t="shared" si="32"/>
        <v>#VALUE!</v>
      </c>
      <c r="N116" s="4" t="e">
        <f t="shared" si="33"/>
        <v>#VALUE!</v>
      </c>
      <c r="O116" s="4" t="e">
        <f>IF($A116="","",$N116*Inputs!$B$15/12)</f>
        <v>#VALUE!</v>
      </c>
      <c r="P116" s="4" t="e">
        <f>IF($A116="","",SUM(IF($A116=EOMONTH(Inputs!$B$3,0),Inputs!$B$4*Inputs!$B$16,0),IF(Inputs!$B$3="",0,IF($A116=EOMONTH(Inputs!$B$3,12),Inputs!$B$4*Inputs!$B$16,0)),IF(Inputs!$B$3="",0,IF($A116=EOMONTH(Inputs!$B$3,24),Inputs!$B$4*Inputs!$B$16,0))))</f>
        <v>#VALUE!</v>
      </c>
      <c r="Q116" s="4" t="e">
        <f>IF($A116="","",IF(AND(Inputs!$B$18&lt;&gt;"",$A116=EOMONTH(Inputs!$B$18,0),Inputs!$B$18&lt;=Inputs!$B$23),Inputs!$B$4*Inputs!$B$17,0))</f>
        <v>#VALUE!</v>
      </c>
      <c r="R116" s="4" t="e">
        <f t="shared" si="40"/>
        <v>#VALUE!</v>
      </c>
      <c r="S116" s="4"/>
      <c r="T116" s="4" t="e">
        <f>IF($A116="","",IF(OR(Inputs!$B$27="",Inputs!$B$28=""),0,IF($A116&lt;Inputs!$B$27,0,IF($A116&gt;Inputs!$B$29,0,$R116/MAX(1,Inputs!$B$28-DATEDIF(Inputs!$B$27,$A116,"m"))))))</f>
        <v>#VALUE!</v>
      </c>
      <c r="U116" s="4"/>
      <c r="V116" s="4" t="e">
        <f t="shared" si="34"/>
        <v>#VALUE!</v>
      </c>
      <c r="W116" s="5" t="e">
        <f>IF($A116="","",MAX(Inputs!$B$14,(IF($B116="",Inputs!$B$20,$B116)+Inputs!$B$13)))</f>
        <v>#VALUE!</v>
      </c>
      <c r="X116" s="4" t="e">
        <f t="shared" si="35"/>
        <v>#VALUE!</v>
      </c>
      <c r="Y116" s="4" t="e">
        <f>IF($A116="","",IF(AND(IF($U116="",0,$U116)&gt;0,Inputs!$B$24&lt;&gt;"",$A116&lt;=EOMONTH(Inputs!$B$24,0)),IF($U116="",0,$U116)*Inputs!$B$19,0))</f>
        <v>#VALUE!</v>
      </c>
      <c r="Z116" s="4" t="e">
        <f t="shared" si="36"/>
        <v>#VALUE!</v>
      </c>
      <c r="AA116" s="4" t="e">
        <f t="shared" si="37"/>
        <v>#VALUE!</v>
      </c>
      <c r="AB116" s="4" t="e">
        <f t="shared" si="38"/>
        <v>#VALUE!</v>
      </c>
      <c r="AC116" s="4" t="e">
        <f>IF($A116="","",SUM($AB$2:$AB116))</f>
        <v>#VALUE!</v>
      </c>
    </row>
    <row r="117" spans="1:29" x14ac:dyDescent="0.45">
      <c r="A117" s="3" t="e">
        <f>IF(OR($A116="",AND(Inputs!$B$31&lt;&gt;"",EOMONTH($A116,1)&gt;Inputs!$B$31)),"",EOMONTH($A116,1))</f>
        <v>#VALUE!</v>
      </c>
      <c r="B117" s="5"/>
      <c r="C117" s="4"/>
      <c r="D117" s="5"/>
      <c r="E117" s="8" t="e">
        <f>IF($A117="","",MAX(0,(1-(IF($D117="",Inputs!$B$21,$D117)))*IF($A117&lt;=DATE(2026,7,31),9,IF($A117&lt;=DATE(2027,7,31),7.5,6))))</f>
        <v>#VALUE!</v>
      </c>
      <c r="F117" s="4" t="e">
        <f>IF($A117="","",(IF($C117="",Inputs!$B$22,$C117))*$E117)</f>
        <v>#VALUE!</v>
      </c>
      <c r="G117" s="4" t="e">
        <f>IF($A117="","",Inputs!$B$4+IF(AND(Inputs!$B$6&lt;&gt;"",$A117&gt;=EOMONTH(Inputs!$B$6,0)),Inputs!$B$5,0))</f>
        <v>#VALUE!</v>
      </c>
      <c r="H117" s="4" t="e">
        <f t="shared" si="39"/>
        <v>#VALUE!</v>
      </c>
      <c r="I117" s="4"/>
      <c r="J117" s="4"/>
      <c r="K117" s="4" t="e">
        <f t="shared" si="31"/>
        <v>#VALUE!</v>
      </c>
      <c r="L117" s="5" t="e">
        <f>IF($A117="","",MAX(Inputs!$B$14,(IF($B117="",Inputs!$B$20,$B117)+Inputs!$B$12)))</f>
        <v>#VALUE!</v>
      </c>
      <c r="M117" s="4" t="e">
        <f t="shared" si="32"/>
        <v>#VALUE!</v>
      </c>
      <c r="N117" s="4" t="e">
        <f t="shared" si="33"/>
        <v>#VALUE!</v>
      </c>
      <c r="O117" s="4" t="e">
        <f>IF($A117="","",$N117*Inputs!$B$15/12)</f>
        <v>#VALUE!</v>
      </c>
      <c r="P117" s="4" t="e">
        <f>IF($A117="","",SUM(IF($A117=EOMONTH(Inputs!$B$3,0),Inputs!$B$4*Inputs!$B$16,0),IF(Inputs!$B$3="",0,IF($A117=EOMONTH(Inputs!$B$3,12),Inputs!$B$4*Inputs!$B$16,0)),IF(Inputs!$B$3="",0,IF($A117=EOMONTH(Inputs!$B$3,24),Inputs!$B$4*Inputs!$B$16,0))))</f>
        <v>#VALUE!</v>
      </c>
      <c r="Q117" s="4" t="e">
        <f>IF($A117="","",IF(AND(Inputs!$B$18&lt;&gt;"",$A117=EOMONTH(Inputs!$B$18,0),Inputs!$B$18&lt;=Inputs!$B$23),Inputs!$B$4*Inputs!$B$17,0))</f>
        <v>#VALUE!</v>
      </c>
      <c r="R117" s="4" t="e">
        <f t="shared" si="40"/>
        <v>#VALUE!</v>
      </c>
      <c r="S117" s="4"/>
      <c r="T117" s="4" t="e">
        <f>IF($A117="","",IF(OR(Inputs!$B$27="",Inputs!$B$28=""),0,IF($A117&lt;Inputs!$B$27,0,IF($A117&gt;Inputs!$B$29,0,$R117/MAX(1,Inputs!$B$28-DATEDIF(Inputs!$B$27,$A117,"m"))))))</f>
        <v>#VALUE!</v>
      </c>
      <c r="U117" s="4"/>
      <c r="V117" s="4" t="e">
        <f t="shared" si="34"/>
        <v>#VALUE!</v>
      </c>
      <c r="W117" s="5" t="e">
        <f>IF($A117="","",MAX(Inputs!$B$14,(IF($B117="",Inputs!$B$20,$B117)+Inputs!$B$13)))</f>
        <v>#VALUE!</v>
      </c>
      <c r="X117" s="4" t="e">
        <f t="shared" si="35"/>
        <v>#VALUE!</v>
      </c>
      <c r="Y117" s="4" t="e">
        <f>IF($A117="","",IF(AND(IF($U117="",0,$U117)&gt;0,Inputs!$B$24&lt;&gt;"",$A117&lt;=EOMONTH(Inputs!$B$24,0)),IF($U117="",0,$U117)*Inputs!$B$19,0))</f>
        <v>#VALUE!</v>
      </c>
      <c r="Z117" s="4" t="e">
        <f t="shared" si="36"/>
        <v>#VALUE!</v>
      </c>
      <c r="AA117" s="4" t="e">
        <f t="shared" si="37"/>
        <v>#VALUE!</v>
      </c>
      <c r="AB117" s="4" t="e">
        <f t="shared" si="38"/>
        <v>#VALUE!</v>
      </c>
      <c r="AC117" s="4" t="e">
        <f>IF($A117="","",SUM($AB$2:$AB117))</f>
        <v>#VALUE!</v>
      </c>
    </row>
    <row r="118" spans="1:29" x14ac:dyDescent="0.45">
      <c r="A118" s="3" t="e">
        <f>IF(OR($A117="",AND(Inputs!$B$31&lt;&gt;"",EOMONTH($A117,1)&gt;Inputs!$B$31)),"",EOMONTH($A117,1))</f>
        <v>#VALUE!</v>
      </c>
      <c r="B118" s="5"/>
      <c r="C118" s="4"/>
      <c r="D118" s="5"/>
      <c r="E118" s="8" t="e">
        <f>IF($A118="","",MAX(0,(1-(IF($D118="",Inputs!$B$21,$D118)))*IF($A118&lt;=DATE(2026,7,31),9,IF($A118&lt;=DATE(2027,7,31),7.5,6))))</f>
        <v>#VALUE!</v>
      </c>
      <c r="F118" s="4" t="e">
        <f>IF($A118="","",(IF($C118="",Inputs!$B$22,$C118))*$E118)</f>
        <v>#VALUE!</v>
      </c>
      <c r="G118" s="4" t="e">
        <f>IF($A118="","",Inputs!$B$4+IF(AND(Inputs!$B$6&lt;&gt;"",$A118&gt;=EOMONTH(Inputs!$B$6,0)),Inputs!$B$5,0))</f>
        <v>#VALUE!</v>
      </c>
      <c r="H118" s="4" t="e">
        <f t="shared" si="39"/>
        <v>#VALUE!</v>
      </c>
      <c r="I118" s="4"/>
      <c r="J118" s="4"/>
      <c r="K118" s="4" t="e">
        <f t="shared" si="31"/>
        <v>#VALUE!</v>
      </c>
      <c r="L118" s="5" t="e">
        <f>IF($A118="","",MAX(Inputs!$B$14,(IF($B118="",Inputs!$B$20,$B118)+Inputs!$B$12)))</f>
        <v>#VALUE!</v>
      </c>
      <c r="M118" s="4" t="e">
        <f t="shared" si="32"/>
        <v>#VALUE!</v>
      </c>
      <c r="N118" s="4" t="e">
        <f t="shared" si="33"/>
        <v>#VALUE!</v>
      </c>
      <c r="O118" s="4" t="e">
        <f>IF($A118="","",$N118*Inputs!$B$15/12)</f>
        <v>#VALUE!</v>
      </c>
      <c r="P118" s="4" t="e">
        <f>IF($A118="","",SUM(IF($A118=EOMONTH(Inputs!$B$3,0),Inputs!$B$4*Inputs!$B$16,0),IF(Inputs!$B$3="",0,IF($A118=EOMONTH(Inputs!$B$3,12),Inputs!$B$4*Inputs!$B$16,0)),IF(Inputs!$B$3="",0,IF($A118=EOMONTH(Inputs!$B$3,24),Inputs!$B$4*Inputs!$B$16,0))))</f>
        <v>#VALUE!</v>
      </c>
      <c r="Q118" s="4" t="e">
        <f>IF($A118="","",IF(AND(Inputs!$B$18&lt;&gt;"",$A118=EOMONTH(Inputs!$B$18,0),Inputs!$B$18&lt;=Inputs!$B$23),Inputs!$B$4*Inputs!$B$17,0))</f>
        <v>#VALUE!</v>
      </c>
      <c r="R118" s="4" t="e">
        <f t="shared" si="40"/>
        <v>#VALUE!</v>
      </c>
      <c r="S118" s="4"/>
      <c r="T118" s="4" t="e">
        <f>IF($A118="","",IF(OR(Inputs!$B$27="",Inputs!$B$28=""),0,IF($A118&lt;Inputs!$B$27,0,IF($A118&gt;Inputs!$B$29,0,$R118/MAX(1,Inputs!$B$28-DATEDIF(Inputs!$B$27,$A118,"m"))))))</f>
        <v>#VALUE!</v>
      </c>
      <c r="U118" s="4"/>
      <c r="V118" s="4" t="e">
        <f t="shared" si="34"/>
        <v>#VALUE!</v>
      </c>
      <c r="W118" s="5" t="e">
        <f>IF($A118="","",MAX(Inputs!$B$14,(IF($B118="",Inputs!$B$20,$B118)+Inputs!$B$13)))</f>
        <v>#VALUE!</v>
      </c>
      <c r="X118" s="4" t="e">
        <f t="shared" si="35"/>
        <v>#VALUE!</v>
      </c>
      <c r="Y118" s="4" t="e">
        <f>IF($A118="","",IF(AND(IF($U118="",0,$U118)&gt;0,Inputs!$B$24&lt;&gt;"",$A118&lt;=EOMONTH(Inputs!$B$24,0)),IF($U118="",0,$U118)*Inputs!$B$19,0))</f>
        <v>#VALUE!</v>
      </c>
      <c r="Z118" s="4" t="e">
        <f t="shared" si="36"/>
        <v>#VALUE!</v>
      </c>
      <c r="AA118" s="4" t="e">
        <f t="shared" si="37"/>
        <v>#VALUE!</v>
      </c>
      <c r="AB118" s="4" t="e">
        <f t="shared" si="38"/>
        <v>#VALUE!</v>
      </c>
      <c r="AC118" s="4" t="e">
        <f>IF($A118="","",SUM($AB$2:$AB118))</f>
        <v>#VALUE!</v>
      </c>
    </row>
    <row r="119" spans="1:29" x14ac:dyDescent="0.45">
      <c r="A119" s="3" t="e">
        <f>IF(OR($A118="",AND(Inputs!$B$31&lt;&gt;"",EOMONTH($A118,1)&gt;Inputs!$B$31)),"",EOMONTH($A118,1))</f>
        <v>#VALUE!</v>
      </c>
      <c r="B119" s="5"/>
      <c r="C119" s="4"/>
      <c r="D119" s="5"/>
      <c r="E119" s="8" t="e">
        <f>IF($A119="","",MAX(0,(1-(IF($D119="",Inputs!$B$21,$D119)))*IF($A119&lt;=DATE(2026,7,31),9,IF($A119&lt;=DATE(2027,7,31),7.5,6))))</f>
        <v>#VALUE!</v>
      </c>
      <c r="F119" s="4" t="e">
        <f>IF($A119="","",(IF($C119="",Inputs!$B$22,$C119))*$E119)</f>
        <v>#VALUE!</v>
      </c>
      <c r="G119" s="4" t="e">
        <f>IF($A119="","",Inputs!$B$4+IF(AND(Inputs!$B$6&lt;&gt;"",$A119&gt;=EOMONTH(Inputs!$B$6,0)),Inputs!$B$5,0))</f>
        <v>#VALUE!</v>
      </c>
      <c r="H119" s="4" t="e">
        <f t="shared" si="39"/>
        <v>#VALUE!</v>
      </c>
      <c r="I119" s="4"/>
      <c r="J119" s="4"/>
      <c r="K119" s="4" t="e">
        <f t="shared" si="31"/>
        <v>#VALUE!</v>
      </c>
      <c r="L119" s="5" t="e">
        <f>IF($A119="","",MAX(Inputs!$B$14,(IF($B119="",Inputs!$B$20,$B119)+Inputs!$B$12)))</f>
        <v>#VALUE!</v>
      </c>
      <c r="M119" s="4" t="e">
        <f t="shared" si="32"/>
        <v>#VALUE!</v>
      </c>
      <c r="N119" s="4" t="e">
        <f t="shared" si="33"/>
        <v>#VALUE!</v>
      </c>
      <c r="O119" s="4" t="e">
        <f>IF($A119="","",$N119*Inputs!$B$15/12)</f>
        <v>#VALUE!</v>
      </c>
      <c r="P119" s="4" t="e">
        <f>IF($A119="","",SUM(IF($A119=EOMONTH(Inputs!$B$3,0),Inputs!$B$4*Inputs!$B$16,0),IF(Inputs!$B$3="",0,IF($A119=EOMONTH(Inputs!$B$3,12),Inputs!$B$4*Inputs!$B$16,0)),IF(Inputs!$B$3="",0,IF($A119=EOMONTH(Inputs!$B$3,24),Inputs!$B$4*Inputs!$B$16,0))))</f>
        <v>#VALUE!</v>
      </c>
      <c r="Q119" s="4" t="e">
        <f>IF($A119="","",IF(AND(Inputs!$B$18&lt;&gt;"",$A119=EOMONTH(Inputs!$B$18,0),Inputs!$B$18&lt;=Inputs!$B$23),Inputs!$B$4*Inputs!$B$17,0))</f>
        <v>#VALUE!</v>
      </c>
      <c r="R119" s="4" t="e">
        <f t="shared" si="40"/>
        <v>#VALUE!</v>
      </c>
      <c r="S119" s="4"/>
      <c r="T119" s="4" t="e">
        <f>IF($A119="","",IF(OR(Inputs!$B$27="",Inputs!$B$28=""),0,IF($A119&lt;Inputs!$B$27,0,IF($A119&gt;Inputs!$B$29,0,$R119/MAX(1,Inputs!$B$28-DATEDIF(Inputs!$B$27,$A119,"m"))))))</f>
        <v>#VALUE!</v>
      </c>
      <c r="U119" s="4"/>
      <c r="V119" s="4" t="e">
        <f t="shared" si="34"/>
        <v>#VALUE!</v>
      </c>
      <c r="W119" s="5" t="e">
        <f>IF($A119="","",MAX(Inputs!$B$14,(IF($B119="",Inputs!$B$20,$B119)+Inputs!$B$13)))</f>
        <v>#VALUE!</v>
      </c>
      <c r="X119" s="4" t="e">
        <f t="shared" si="35"/>
        <v>#VALUE!</v>
      </c>
      <c r="Y119" s="4" t="e">
        <f>IF($A119="","",IF(AND(IF($U119="",0,$U119)&gt;0,Inputs!$B$24&lt;&gt;"",$A119&lt;=EOMONTH(Inputs!$B$24,0)),IF($U119="",0,$U119)*Inputs!$B$19,0))</f>
        <v>#VALUE!</v>
      </c>
      <c r="Z119" s="4" t="e">
        <f t="shared" si="36"/>
        <v>#VALUE!</v>
      </c>
      <c r="AA119" s="4" t="e">
        <f t="shared" si="37"/>
        <v>#VALUE!</v>
      </c>
      <c r="AB119" s="4" t="e">
        <f t="shared" si="38"/>
        <v>#VALUE!</v>
      </c>
      <c r="AC119" s="4" t="e">
        <f>IF($A119="","",SUM($AB$2:$AB119))</f>
        <v>#VALUE!</v>
      </c>
    </row>
    <row r="120" spans="1:29" x14ac:dyDescent="0.45">
      <c r="A120" s="3" t="e">
        <f>IF(OR($A119="",AND(Inputs!$B$31&lt;&gt;"",EOMONTH($A119,1)&gt;Inputs!$B$31)),"",EOMONTH($A119,1))</f>
        <v>#VALUE!</v>
      </c>
      <c r="B120" s="5"/>
      <c r="C120" s="4"/>
      <c r="D120" s="5"/>
      <c r="E120" s="8" t="e">
        <f>IF($A120="","",MAX(0,(1-(IF($D120="",Inputs!$B$21,$D120)))*IF($A120&lt;=DATE(2026,7,31),9,IF($A120&lt;=DATE(2027,7,31),7.5,6))))</f>
        <v>#VALUE!</v>
      </c>
      <c r="F120" s="4" t="e">
        <f>IF($A120="","",(IF($C120="",Inputs!$B$22,$C120))*$E120)</f>
        <v>#VALUE!</v>
      </c>
      <c r="G120" s="4" t="e">
        <f>IF($A120="","",Inputs!$B$4+IF(AND(Inputs!$B$6&lt;&gt;"",$A120&gt;=EOMONTH(Inputs!$B$6,0)),Inputs!$B$5,0))</f>
        <v>#VALUE!</v>
      </c>
      <c r="H120" s="4" t="e">
        <f t="shared" si="39"/>
        <v>#VALUE!</v>
      </c>
      <c r="I120" s="4"/>
      <c r="J120" s="4"/>
      <c r="K120" s="4" t="e">
        <f t="shared" si="31"/>
        <v>#VALUE!</v>
      </c>
      <c r="L120" s="5" t="e">
        <f>IF($A120="","",MAX(Inputs!$B$14,(IF($B120="",Inputs!$B$20,$B120)+Inputs!$B$12)))</f>
        <v>#VALUE!</v>
      </c>
      <c r="M120" s="4" t="e">
        <f t="shared" si="32"/>
        <v>#VALUE!</v>
      </c>
      <c r="N120" s="4" t="e">
        <f t="shared" si="33"/>
        <v>#VALUE!</v>
      </c>
      <c r="O120" s="4" t="e">
        <f>IF($A120="","",$N120*Inputs!$B$15/12)</f>
        <v>#VALUE!</v>
      </c>
      <c r="P120" s="4" t="e">
        <f>IF($A120="","",SUM(IF($A120=EOMONTH(Inputs!$B$3,0),Inputs!$B$4*Inputs!$B$16,0),IF(Inputs!$B$3="",0,IF($A120=EOMONTH(Inputs!$B$3,12),Inputs!$B$4*Inputs!$B$16,0)),IF(Inputs!$B$3="",0,IF($A120=EOMONTH(Inputs!$B$3,24),Inputs!$B$4*Inputs!$B$16,0))))</f>
        <v>#VALUE!</v>
      </c>
      <c r="Q120" s="4" t="e">
        <f>IF($A120="","",IF(AND(Inputs!$B$18&lt;&gt;"",$A120=EOMONTH(Inputs!$B$18,0),Inputs!$B$18&lt;=Inputs!$B$23),Inputs!$B$4*Inputs!$B$17,0))</f>
        <v>#VALUE!</v>
      </c>
      <c r="R120" s="4" t="e">
        <f t="shared" si="40"/>
        <v>#VALUE!</v>
      </c>
      <c r="S120" s="4"/>
      <c r="T120" s="4" t="e">
        <f>IF($A120="","",IF(OR(Inputs!$B$27="",Inputs!$B$28=""),0,IF($A120&lt;Inputs!$B$27,0,IF($A120&gt;Inputs!$B$29,0,$R120/MAX(1,Inputs!$B$28-DATEDIF(Inputs!$B$27,$A120,"m"))))))</f>
        <v>#VALUE!</v>
      </c>
      <c r="U120" s="4"/>
      <c r="V120" s="4" t="e">
        <f t="shared" si="34"/>
        <v>#VALUE!</v>
      </c>
      <c r="W120" s="5" t="e">
        <f>IF($A120="","",MAX(Inputs!$B$14,(IF($B120="",Inputs!$B$20,$B120)+Inputs!$B$13)))</f>
        <v>#VALUE!</v>
      </c>
      <c r="X120" s="4" t="e">
        <f t="shared" si="35"/>
        <v>#VALUE!</v>
      </c>
      <c r="Y120" s="4" t="e">
        <f>IF($A120="","",IF(AND(IF($U120="",0,$U120)&gt;0,Inputs!$B$24&lt;&gt;"",$A120&lt;=EOMONTH(Inputs!$B$24,0)),IF($U120="",0,$U120)*Inputs!$B$19,0))</f>
        <v>#VALUE!</v>
      </c>
      <c r="Z120" s="4" t="e">
        <f t="shared" si="36"/>
        <v>#VALUE!</v>
      </c>
      <c r="AA120" s="4" t="e">
        <f t="shared" si="37"/>
        <v>#VALUE!</v>
      </c>
      <c r="AB120" s="4" t="e">
        <f t="shared" si="38"/>
        <v>#VALUE!</v>
      </c>
      <c r="AC120" s="4" t="e">
        <f>IF($A120="","",SUM($AB$2:$AB120))</f>
        <v>#VALUE!</v>
      </c>
    </row>
    <row r="121" spans="1:29" x14ac:dyDescent="0.45">
      <c r="A121" s="3" t="e">
        <f>IF(OR($A120="",AND(Inputs!$B$31&lt;&gt;"",EOMONTH($A120,1)&gt;Inputs!$B$31)),"",EOMONTH($A120,1))</f>
        <v>#VALUE!</v>
      </c>
      <c r="B121" s="5"/>
      <c r="C121" s="4"/>
      <c r="D121" s="5"/>
      <c r="E121" s="8" t="e">
        <f>IF($A121="","",MAX(0,(1-(IF($D121="",Inputs!$B$21,$D121)))*IF($A121&lt;=DATE(2026,7,31),9,IF($A121&lt;=DATE(2027,7,31),7.5,6))))</f>
        <v>#VALUE!</v>
      </c>
      <c r="F121" s="4" t="e">
        <f>IF($A121="","",(IF($C121="",Inputs!$B$22,$C121))*$E121)</f>
        <v>#VALUE!</v>
      </c>
      <c r="G121" s="4" t="e">
        <f>IF($A121="","",Inputs!$B$4+IF(AND(Inputs!$B$6&lt;&gt;"",$A121&gt;=EOMONTH(Inputs!$B$6,0)),Inputs!$B$5,0))</f>
        <v>#VALUE!</v>
      </c>
      <c r="H121" s="4" t="e">
        <f t="shared" si="39"/>
        <v>#VALUE!</v>
      </c>
      <c r="I121" s="4"/>
      <c r="J121" s="4"/>
      <c r="K121" s="4" t="e">
        <f t="shared" si="31"/>
        <v>#VALUE!</v>
      </c>
      <c r="L121" s="5" t="e">
        <f>IF($A121="","",MAX(Inputs!$B$14,(IF($B121="",Inputs!$B$20,$B121)+Inputs!$B$12)))</f>
        <v>#VALUE!</v>
      </c>
      <c r="M121" s="4" t="e">
        <f t="shared" si="32"/>
        <v>#VALUE!</v>
      </c>
      <c r="N121" s="4" t="e">
        <f t="shared" si="33"/>
        <v>#VALUE!</v>
      </c>
      <c r="O121" s="4" t="e">
        <f>IF($A121="","",$N121*Inputs!$B$15/12)</f>
        <v>#VALUE!</v>
      </c>
      <c r="P121" s="4" t="e">
        <f>IF($A121="","",SUM(IF($A121=EOMONTH(Inputs!$B$3,0),Inputs!$B$4*Inputs!$B$16,0),IF(Inputs!$B$3="",0,IF($A121=EOMONTH(Inputs!$B$3,12),Inputs!$B$4*Inputs!$B$16,0)),IF(Inputs!$B$3="",0,IF($A121=EOMONTH(Inputs!$B$3,24),Inputs!$B$4*Inputs!$B$16,0))))</f>
        <v>#VALUE!</v>
      </c>
      <c r="Q121" s="4" t="e">
        <f>IF($A121="","",IF(AND(Inputs!$B$18&lt;&gt;"",$A121=EOMONTH(Inputs!$B$18,0),Inputs!$B$18&lt;=Inputs!$B$23),Inputs!$B$4*Inputs!$B$17,0))</f>
        <v>#VALUE!</v>
      </c>
      <c r="R121" s="4" t="e">
        <f t="shared" si="40"/>
        <v>#VALUE!</v>
      </c>
      <c r="S121" s="4"/>
      <c r="T121" s="4" t="e">
        <f>IF($A121="","",IF(OR(Inputs!$B$27="",Inputs!$B$28=""),0,IF($A121&lt;Inputs!$B$27,0,IF($A121&gt;Inputs!$B$29,0,$R121/MAX(1,Inputs!$B$28-DATEDIF(Inputs!$B$27,$A121,"m"))))))</f>
        <v>#VALUE!</v>
      </c>
      <c r="U121" s="4"/>
      <c r="V121" s="4" t="e">
        <f t="shared" si="34"/>
        <v>#VALUE!</v>
      </c>
      <c r="W121" s="5" t="e">
        <f>IF($A121="","",MAX(Inputs!$B$14,(IF($B121="",Inputs!$B$20,$B121)+Inputs!$B$13)))</f>
        <v>#VALUE!</v>
      </c>
      <c r="X121" s="4" t="e">
        <f t="shared" si="35"/>
        <v>#VALUE!</v>
      </c>
      <c r="Y121" s="4" t="e">
        <f>IF($A121="","",IF(AND(IF($U121="",0,$U121)&gt;0,Inputs!$B$24&lt;&gt;"",$A121&lt;=EOMONTH(Inputs!$B$24,0)),IF($U121="",0,$U121)*Inputs!$B$19,0))</f>
        <v>#VALUE!</v>
      </c>
      <c r="Z121" s="4" t="e">
        <f t="shared" si="36"/>
        <v>#VALUE!</v>
      </c>
      <c r="AA121" s="4" t="e">
        <f t="shared" si="37"/>
        <v>#VALUE!</v>
      </c>
      <c r="AB121" s="4" t="e">
        <f t="shared" si="38"/>
        <v>#VALUE!</v>
      </c>
      <c r="AC121" s="4" t="e">
        <f>IF($A121="","",SUM($AB$2:$AB121))</f>
        <v>#VALUE!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pane ySplit="2" topLeftCell="A3" activePane="bottomLeft" state="frozen"/>
      <selection pane="bottomLeft" activeCell="B21" sqref="B21"/>
    </sheetView>
  </sheetViews>
  <sheetFormatPr defaultRowHeight="14.25" x14ac:dyDescent="0.45"/>
  <cols>
    <col min="1" max="1" width="46" customWidth="1"/>
    <col min="2" max="2" width="70" customWidth="1"/>
  </cols>
  <sheetData>
    <row r="1" spans="1:2" ht="18" x14ac:dyDescent="0.55000000000000004">
      <c r="A1" s="1" t="s">
        <v>90</v>
      </c>
    </row>
    <row r="2" spans="1:2" x14ac:dyDescent="0.45">
      <c r="A2" s="2" t="s">
        <v>1</v>
      </c>
      <c r="B2" s="2" t="s">
        <v>91</v>
      </c>
    </row>
    <row r="3" spans="1:2" x14ac:dyDescent="0.45">
      <c r="A3" t="s">
        <v>6</v>
      </c>
      <c r="B3" s="9">
        <f>Inputs!$B$4</f>
        <v>10000000</v>
      </c>
    </row>
    <row r="4" spans="1:2" x14ac:dyDescent="0.45">
      <c r="A4" t="s">
        <v>8</v>
      </c>
      <c r="B4" s="9">
        <f>Inputs!$B$5</f>
        <v>5000000</v>
      </c>
    </row>
    <row r="5" spans="1:2" x14ac:dyDescent="0.45">
      <c r="A5" t="s">
        <v>92</v>
      </c>
      <c r="B5" s="10" t="str">
        <f>"Prime + "&amp;TEXT(Inputs!B12,"0.00%")&amp;" (floor "&amp;TEXT(Inputs!B14,"0.00%")&amp;")"</f>
        <v>Prime + 0.50% (floor 5.50%)</v>
      </c>
    </row>
    <row r="6" spans="1:2" x14ac:dyDescent="0.45">
      <c r="A6" t="s">
        <v>12</v>
      </c>
      <c r="B6" s="11">
        <f>Inputs!$B$7</f>
        <v>46996</v>
      </c>
    </row>
    <row r="7" spans="1:2" x14ac:dyDescent="0.45">
      <c r="A7" t="s">
        <v>27</v>
      </c>
      <c r="B7" s="12">
        <f>Inputs!$B$15</f>
        <v>2.5000000000000001E-3</v>
      </c>
    </row>
    <row r="8" spans="1:2" x14ac:dyDescent="0.45">
      <c r="A8" t="s">
        <v>93</v>
      </c>
      <c r="B8" s="12">
        <f>Inputs!$B$16</f>
        <v>1E-3</v>
      </c>
    </row>
    <row r="9" spans="1:2" x14ac:dyDescent="0.45">
      <c r="A9" t="s">
        <v>77</v>
      </c>
      <c r="B9" s="12">
        <f>Inputs!$B$17</f>
        <v>0.01</v>
      </c>
    </row>
    <row r="10" spans="1:2" x14ac:dyDescent="0.45">
      <c r="A10" t="s">
        <v>94</v>
      </c>
      <c r="B10" s="10" t="s">
        <v>95</v>
      </c>
    </row>
    <row r="11" spans="1:2" x14ac:dyDescent="0.45">
      <c r="A11" t="s">
        <v>14</v>
      </c>
      <c r="B11" s="9">
        <f>Inputs!$B$8</f>
        <v>5000000</v>
      </c>
    </row>
    <row r="12" spans="1:2" x14ac:dyDescent="0.45">
      <c r="A12" t="s">
        <v>96</v>
      </c>
      <c r="B12" s="10" t="str">
        <f>"Prime + "&amp;TEXT(Inputs!B13,"0.00%")&amp;" (floor "&amp;TEXT(Inputs!B14,"0.00%")&amp;")"</f>
        <v>Prime + 0.75% (floor 5.50%)</v>
      </c>
    </row>
    <row r="13" spans="1:2" x14ac:dyDescent="0.45">
      <c r="A13" t="s">
        <v>16</v>
      </c>
      <c r="B13" s="11">
        <f>Inputs!$B$9</f>
        <v>46630</v>
      </c>
    </row>
    <row r="14" spans="1:2" x14ac:dyDescent="0.45">
      <c r="A14" t="s">
        <v>18</v>
      </c>
      <c r="B14" s="11">
        <f>Inputs!$B$10</f>
        <v>46630</v>
      </c>
    </row>
    <row r="15" spans="1:2" x14ac:dyDescent="0.45">
      <c r="A15" t="s">
        <v>53</v>
      </c>
      <c r="B15" s="13">
        <f>Inputs!$B$28</f>
        <v>24</v>
      </c>
    </row>
    <row r="16" spans="1:2" x14ac:dyDescent="0.45">
      <c r="A16" t="s">
        <v>20</v>
      </c>
      <c r="B16" s="11">
        <f>Inputs!$B$11</f>
        <v>47331</v>
      </c>
    </row>
    <row r="17" spans="1:2" x14ac:dyDescent="0.45">
      <c r="A17" t="s">
        <v>85</v>
      </c>
      <c r="B17" s="12">
        <f>Inputs!$B$19</f>
        <v>0.02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Inputs</vt:lpstr>
      <vt:lpstr>Monthly Schedule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juan morin</cp:lastModifiedBy>
  <dcterms:created xsi:type="dcterms:W3CDTF">2025-11-04T12:00:42Z</dcterms:created>
  <dcterms:modified xsi:type="dcterms:W3CDTF">2025-11-04T12:23:07Z</dcterms:modified>
</cp:coreProperties>
</file>